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Z:\7. RIESGOS\RIESGOS 2025\RIESGOS 2 TRIMESTRE\"/>
    </mc:Choice>
  </mc:AlternateContent>
  <bookViews>
    <workbookView xWindow="0" yWindow="0" windowWidth="28800" windowHeight="12330" tabRatio="884" activeTab="1"/>
  </bookViews>
  <sheets>
    <sheet name="1.Intructivo" sheetId="20" r:id="rId1"/>
    <sheet name="2.Mapa final" sheetId="1" r:id="rId2"/>
    <sheet name="3.Matriz Calor Inherente" sheetId="18" r:id="rId3"/>
    <sheet name="4.Matriz Calor Residual" sheetId="19" r:id="rId4"/>
    <sheet name="5.Tabla probabilidad" sheetId="12" r:id="rId5"/>
    <sheet name="6.Tabla Impacto" sheetId="13" r:id="rId6"/>
    <sheet name="7.Tabla Valoración controles" sheetId="15" r:id="rId7"/>
    <sheet name="Opciones Tratamiento" sheetId="16" state="hidden" r:id="rId8"/>
    <sheet name="8.Listas desplegables" sheetId="11" r:id="rId9"/>
    <sheet name="9. Reporte riesgo materializado" sheetId="25" r:id="rId10"/>
    <sheet name="10. Seguimiento a controles" sheetId="26" r:id="rId11"/>
  </sheets>
  <externalReferences>
    <externalReference r:id="rId12"/>
    <externalReference r:id="rId13"/>
  </externalReferences>
  <definedNames>
    <definedName name="_xlnm._FilterDatabase" localSheetId="1" hidden="1">'2.Mapa final'!$C$8:$BQ$185</definedName>
  </definedNames>
  <calcPr calcId="162913"/>
  <pivotCaches>
    <pivotCache cacheId="0" r:id="rId14"/>
  </pivotCaches>
</workbook>
</file>

<file path=xl/calcChain.xml><?xml version="1.0" encoding="utf-8"?>
<calcChain xmlns="http://schemas.openxmlformats.org/spreadsheetml/2006/main">
  <c r="AH156" i="1" l="1"/>
  <c r="AG156" i="1" s="1"/>
  <c r="M9" i="1"/>
  <c r="N9" i="1" s="1"/>
  <c r="P9" i="1"/>
  <c r="R9" i="1" s="1"/>
  <c r="U9" i="1"/>
  <c r="X9" i="1"/>
  <c r="M10" i="1"/>
  <c r="R10" i="1" s="1"/>
  <c r="U10" i="1"/>
  <c r="X10" i="1"/>
  <c r="M11" i="1"/>
  <c r="N11" i="1" s="1"/>
  <c r="P11" i="1"/>
  <c r="U11" i="1"/>
  <c r="X11" i="1"/>
  <c r="M12" i="1"/>
  <c r="N12" i="1" s="1"/>
  <c r="P12" i="1"/>
  <c r="Q12" i="1" s="1"/>
  <c r="U12" i="1"/>
  <c r="X12" i="1"/>
  <c r="M13" i="1"/>
  <c r="N13" i="1" s="1"/>
  <c r="P13" i="1"/>
  <c r="Q13" i="1" s="1"/>
  <c r="R13" i="1"/>
  <c r="U13" i="1"/>
  <c r="X13" i="1"/>
  <c r="AE13" i="1"/>
  <c r="AG13" i="1"/>
  <c r="M14" i="1"/>
  <c r="N14" i="1" s="1"/>
  <c r="P14" i="1"/>
  <c r="Q14" i="1" s="1"/>
  <c r="AH14" i="1" s="1"/>
  <c r="X14" i="1"/>
  <c r="AE14" i="1"/>
  <c r="AI14" i="1" s="1"/>
  <c r="AF14" i="1"/>
  <c r="M15" i="1"/>
  <c r="N15" i="1" s="1"/>
  <c r="AD15" i="1" s="1"/>
  <c r="P15" i="1"/>
  <c r="Q15" i="1"/>
  <c r="X15" i="1"/>
  <c r="X16" i="1"/>
  <c r="AE16" i="1"/>
  <c r="AI16" i="1" s="1"/>
  <c r="AF16" i="1"/>
  <c r="M17" i="1"/>
  <c r="N17" i="1" s="1"/>
  <c r="P17" i="1"/>
  <c r="Q17" i="1" s="1"/>
  <c r="AH17" i="1" s="1"/>
  <c r="AG17" i="1" s="1"/>
  <c r="X17" i="1"/>
  <c r="X18" i="1"/>
  <c r="AE18" i="1"/>
  <c r="AF18" i="1"/>
  <c r="AG18" i="1"/>
  <c r="X19" i="1"/>
  <c r="AE19" i="1"/>
  <c r="AF19" i="1"/>
  <c r="AG19" i="1"/>
  <c r="M20" i="1"/>
  <c r="P20" i="1"/>
  <c r="Q20" i="1" s="1"/>
  <c r="X20" i="1"/>
  <c r="M21" i="1"/>
  <c r="N21" i="1" s="1"/>
  <c r="AD21" i="1" s="1"/>
  <c r="AE21" i="1" s="1"/>
  <c r="AI20" i="1" s="1"/>
  <c r="P21" i="1"/>
  <c r="Q21" i="1" s="1"/>
  <c r="X21" i="1"/>
  <c r="R20" i="1" l="1"/>
  <c r="N10" i="1"/>
  <c r="AD10" i="1"/>
  <c r="AE10" i="1" s="1"/>
  <c r="AI10" i="1" s="1"/>
  <c r="R11" i="1"/>
  <c r="N20" i="1"/>
  <c r="AD20" i="1" s="1"/>
  <c r="AE20" i="1" s="1"/>
  <c r="AD17" i="1"/>
  <c r="AE17" i="1" s="1"/>
  <c r="AI17" i="1" s="1"/>
  <c r="AI13" i="1"/>
  <c r="AH10" i="1"/>
  <c r="AG10" i="1" s="1"/>
  <c r="Q11" i="1"/>
  <c r="AH11" i="1" s="1"/>
  <c r="AG11" i="1" s="1"/>
  <c r="AD12" i="1"/>
  <c r="AE12" i="1" s="1"/>
  <c r="R15" i="1"/>
  <c r="AH12" i="1"/>
  <c r="AG12" i="1" s="1"/>
  <c r="Q9" i="1"/>
  <c r="AH9" i="1" s="1"/>
  <c r="AG9" i="1" s="1"/>
  <c r="R12" i="1"/>
  <c r="AD11" i="1"/>
  <c r="AF11" i="1" s="1"/>
  <c r="AI19" i="1"/>
  <c r="AI18" i="1"/>
  <c r="AD9" i="1"/>
  <c r="AE9" i="1" s="1"/>
  <c r="AE15" i="1"/>
  <c r="AI15" i="1" s="1"/>
  <c r="AF15" i="1"/>
  <c r="AF21" i="1"/>
  <c r="R14" i="1"/>
  <c r="AF10" i="1"/>
  <c r="R21" i="1"/>
  <c r="AF17" i="1"/>
  <c r="R17" i="1"/>
  <c r="AG151" i="1"/>
  <c r="AF151" i="1"/>
  <c r="AE151" i="1"/>
  <c r="AF20" i="1" l="1"/>
  <c r="AF9" i="1"/>
  <c r="AE11" i="1"/>
  <c r="AF12" i="1"/>
  <c r="AI12" i="1"/>
  <c r="AI9" i="1"/>
  <c r="AJ9" i="1" s="1"/>
  <c r="AI11" i="1"/>
  <c r="AJ13" i="1"/>
  <c r="AJ20" i="1"/>
  <c r="AJ17" i="1"/>
  <c r="AJ11" i="1"/>
  <c r="AJ10" i="1"/>
  <c r="AJ12" i="1"/>
  <c r="AJ19" i="1"/>
  <c r="AJ21" i="1"/>
  <c r="AJ18" i="1"/>
  <c r="AI151" i="1"/>
  <c r="AJ151" i="1" s="1"/>
  <c r="AE177" i="1"/>
  <c r="AG177" i="1"/>
  <c r="X177" i="1"/>
  <c r="AH174" i="1"/>
  <c r="X176" i="1"/>
  <c r="P176" i="1"/>
  <c r="Q176" i="1" s="1"/>
  <c r="AH176" i="1" s="1"/>
  <c r="AG176" i="1" s="1"/>
  <c r="M176" i="1"/>
  <c r="N176" i="1" s="1"/>
  <c r="AI177" i="1" l="1"/>
  <c r="AF177" i="1"/>
  <c r="R176" i="1"/>
  <c r="AD176" i="1"/>
  <c r="AE176" i="1" s="1"/>
  <c r="AI176" i="1" s="1"/>
  <c r="AF176" i="1" l="1"/>
  <c r="AF174" i="1" l="1"/>
  <c r="AE174" i="1"/>
  <c r="AI174" i="1" s="1"/>
  <c r="Q173" i="1"/>
  <c r="AH173" i="1" s="1"/>
  <c r="M173" i="1"/>
  <c r="N173" i="1" s="1"/>
  <c r="AD173" i="1" s="1"/>
  <c r="AF164" i="1"/>
  <c r="AF163" i="1"/>
  <c r="AF162" i="1"/>
  <c r="AE164" i="1"/>
  <c r="AE163" i="1"/>
  <c r="AE162" i="1"/>
  <c r="R164" i="1"/>
  <c r="Q164" i="1"/>
  <c r="R162" i="1"/>
  <c r="AG153" i="1"/>
  <c r="AG154" i="1"/>
  <c r="AF154" i="1"/>
  <c r="AF153" i="1"/>
  <c r="AE154" i="1"/>
  <c r="AE153" i="1"/>
  <c r="X153" i="1"/>
  <c r="Q153" i="1"/>
  <c r="M153" i="1"/>
  <c r="N153" i="1" s="1"/>
  <c r="AF138" i="1"/>
  <c r="P138" i="1"/>
  <c r="M138" i="1"/>
  <c r="N138" i="1" s="1"/>
  <c r="M139" i="1"/>
  <c r="AH128" i="1"/>
  <c r="AH127" i="1"/>
  <c r="AF128" i="1"/>
  <c r="AF127" i="1"/>
  <c r="AF126" i="1"/>
  <c r="AE128" i="1"/>
  <c r="AI128" i="1" s="1"/>
  <c r="AE127" i="1"/>
  <c r="AI127" i="1" s="1"/>
  <c r="AE126" i="1"/>
  <c r="Q126" i="1"/>
  <c r="AH126" i="1" s="1"/>
  <c r="AG126" i="1" s="1"/>
  <c r="M126" i="1"/>
  <c r="R126" i="1" s="1"/>
  <c r="AE125" i="1"/>
  <c r="AI125" i="1" s="1"/>
  <c r="X123" i="1"/>
  <c r="P125" i="1"/>
  <c r="Q125" i="1" s="1"/>
  <c r="M125" i="1"/>
  <c r="N125" i="1" s="1"/>
  <c r="AF111" i="1"/>
  <c r="AE111" i="1"/>
  <c r="AI111" i="1" s="1"/>
  <c r="X111" i="1"/>
  <c r="P111" i="1"/>
  <c r="Q111" i="1" s="1"/>
  <c r="AH111" i="1" s="1"/>
  <c r="P112" i="1"/>
  <c r="M111" i="1"/>
  <c r="AF106" i="1"/>
  <c r="AG106" i="1"/>
  <c r="AE106" i="1"/>
  <c r="X106" i="1"/>
  <c r="P106" i="1"/>
  <c r="Q106" i="1" s="1"/>
  <c r="M106" i="1"/>
  <c r="N106" i="1" s="1"/>
  <c r="R138" i="1" l="1"/>
  <c r="AI154" i="1"/>
  <c r="AJ154" i="1" s="1"/>
  <c r="R173" i="1"/>
  <c r="R153" i="1"/>
  <c r="AE173" i="1"/>
  <c r="AI173" i="1" s="1"/>
  <c r="AF173" i="1"/>
  <c r="AI126" i="1"/>
  <c r="AI153" i="1"/>
  <c r="AJ153" i="1" s="1"/>
  <c r="R111" i="1"/>
  <c r="N111" i="1"/>
  <c r="R125" i="1"/>
  <c r="AI106" i="1"/>
  <c r="R106" i="1"/>
  <c r="Q138" i="1"/>
  <c r="AH138" i="1" s="1"/>
  <c r="AG138" i="1" s="1"/>
  <c r="AI138" i="1" s="1"/>
  <c r="Q162" i="1"/>
  <c r="U139" i="1" l="1"/>
  <c r="X139" i="1"/>
  <c r="AG109" i="1" l="1"/>
  <c r="AE109" i="1"/>
  <c r="AF109" i="1"/>
  <c r="X109" i="1"/>
  <c r="AI109" i="1" l="1"/>
  <c r="AG184" i="1"/>
  <c r="AF184" i="1"/>
  <c r="AE184" i="1"/>
  <c r="X184" i="1"/>
  <c r="U184" i="1"/>
  <c r="AI184" i="1" l="1"/>
  <c r="AG49" i="1" l="1"/>
  <c r="AI49" i="1" s="1"/>
  <c r="AF49" i="1"/>
  <c r="X49" i="1"/>
  <c r="AG28" i="1" l="1"/>
  <c r="AI28" i="1" s="1"/>
  <c r="AF28" i="1"/>
  <c r="X28" i="1"/>
  <c r="AG22" i="1" l="1"/>
  <c r="AF23" i="1"/>
  <c r="AG23" i="1"/>
  <c r="AF24" i="1"/>
  <c r="AG24" i="1"/>
  <c r="AF25" i="1"/>
  <c r="AG25" i="1"/>
  <c r="AF26" i="1"/>
  <c r="AG26" i="1"/>
  <c r="AI26" i="1" s="1"/>
  <c r="AF27" i="1"/>
  <c r="AG27" i="1"/>
  <c r="AI27" i="1" s="1"/>
  <c r="AF29" i="1"/>
  <c r="AG29" i="1"/>
  <c r="AI29" i="1" s="1"/>
  <c r="AF30" i="1"/>
  <c r="AG30" i="1"/>
  <c r="AI30" i="1" s="1"/>
  <c r="AF31" i="1"/>
  <c r="AG31" i="1"/>
  <c r="AI31" i="1" s="1"/>
  <c r="AF32" i="1"/>
  <c r="AG32" i="1"/>
  <c r="AI32" i="1" s="1"/>
  <c r="AF33" i="1"/>
  <c r="AG33" i="1"/>
  <c r="AI33" i="1" s="1"/>
  <c r="AF34" i="1"/>
  <c r="AG34" i="1"/>
  <c r="AI34" i="1" s="1"/>
  <c r="AF35" i="1"/>
  <c r="AG35" i="1"/>
  <c r="AI35" i="1" s="1"/>
  <c r="AF36" i="1"/>
  <c r="AG36" i="1"/>
  <c r="AI36" i="1" s="1"/>
  <c r="AF37" i="1"/>
  <c r="AG37" i="1"/>
  <c r="AI37" i="1" s="1"/>
  <c r="AF38" i="1"/>
  <c r="AG38" i="1"/>
  <c r="AI38" i="1" s="1"/>
  <c r="AF39" i="1"/>
  <c r="AG39" i="1"/>
  <c r="AI39" i="1" s="1"/>
  <c r="AF40" i="1"/>
  <c r="AG40" i="1"/>
  <c r="AI40" i="1" s="1"/>
  <c r="AF41" i="1"/>
  <c r="AG41" i="1"/>
  <c r="AF42" i="1"/>
  <c r="AG42" i="1"/>
  <c r="AF43" i="1"/>
  <c r="AG43" i="1"/>
  <c r="AI43" i="1" s="1"/>
  <c r="AF44" i="1"/>
  <c r="AG44" i="1"/>
  <c r="AI44" i="1" s="1"/>
  <c r="AF45" i="1"/>
  <c r="AG45" i="1"/>
  <c r="AI45" i="1" s="1"/>
  <c r="AF46" i="1"/>
  <c r="AG46" i="1"/>
  <c r="AI46" i="1" s="1"/>
  <c r="AF47" i="1"/>
  <c r="AG47" i="1"/>
  <c r="AI47" i="1" s="1"/>
  <c r="AF48" i="1"/>
  <c r="AG48" i="1"/>
  <c r="AI48" i="1" s="1"/>
  <c r="AE50" i="1"/>
  <c r="AF50" i="1" s="1"/>
  <c r="AE51" i="1"/>
  <c r="AF51" i="1"/>
  <c r="AG51" i="1"/>
  <c r="AE52" i="1"/>
  <c r="AF52" i="1"/>
  <c r="AG52" i="1"/>
  <c r="AG53" i="1"/>
  <c r="AF54" i="1"/>
  <c r="AG54" i="1"/>
  <c r="AE55" i="1"/>
  <c r="AF55" i="1"/>
  <c r="AG55" i="1"/>
  <c r="AE56" i="1"/>
  <c r="AF56" i="1"/>
  <c r="AG56" i="1"/>
  <c r="AE57" i="1"/>
  <c r="AF57" i="1"/>
  <c r="AG57" i="1"/>
  <c r="AE58" i="1"/>
  <c r="AF58" i="1"/>
  <c r="AG58" i="1"/>
  <c r="AE59" i="1"/>
  <c r="AG59" i="1"/>
  <c r="AE60" i="1"/>
  <c r="AG60" i="1"/>
  <c r="AE61" i="1"/>
  <c r="AG61" i="1"/>
  <c r="AE62" i="1"/>
  <c r="AG62" i="1"/>
  <c r="AE63" i="1"/>
  <c r="AG63" i="1"/>
  <c r="AE64" i="1"/>
  <c r="AG64" i="1"/>
  <c r="AE65" i="1"/>
  <c r="AG65" i="1"/>
  <c r="AE66" i="1"/>
  <c r="AG66" i="1"/>
  <c r="AE67" i="1"/>
  <c r="AG67" i="1"/>
  <c r="AE68" i="1"/>
  <c r="AG68" i="1"/>
  <c r="AE69" i="1"/>
  <c r="AG69" i="1"/>
  <c r="AE70" i="1"/>
  <c r="AG70" i="1"/>
  <c r="AE71" i="1"/>
  <c r="AG71" i="1"/>
  <c r="AE72" i="1"/>
  <c r="AG72" i="1"/>
  <c r="AG73" i="1"/>
  <c r="AE74" i="1"/>
  <c r="AE75" i="1"/>
  <c r="AF75" i="1"/>
  <c r="AE76" i="1"/>
  <c r="AF76" i="1"/>
  <c r="AE77" i="1"/>
  <c r="AF77" i="1"/>
  <c r="AE78" i="1"/>
  <c r="AF78" i="1"/>
  <c r="AE79" i="1"/>
  <c r="AF79" i="1"/>
  <c r="AE80" i="1"/>
  <c r="AF80" i="1"/>
  <c r="AE81" i="1"/>
  <c r="AF81" i="1"/>
  <c r="AG81" i="1"/>
  <c r="AE82" i="1"/>
  <c r="AF82" i="1"/>
  <c r="AE83" i="1"/>
  <c r="AF83" i="1"/>
  <c r="AE84" i="1"/>
  <c r="AF84" i="1"/>
  <c r="AE85" i="1"/>
  <c r="AF85" i="1"/>
  <c r="AG85" i="1"/>
  <c r="AE86" i="1"/>
  <c r="AF86" i="1"/>
  <c r="AE87" i="1"/>
  <c r="AF87" i="1"/>
  <c r="AE88" i="1"/>
  <c r="AF88" i="1"/>
  <c r="AE89" i="1"/>
  <c r="AG89" i="1"/>
  <c r="AE90" i="1"/>
  <c r="AF90" i="1"/>
  <c r="AE91" i="1"/>
  <c r="AF91" i="1"/>
  <c r="AG91" i="1"/>
  <c r="AE92" i="1"/>
  <c r="AF92" i="1"/>
  <c r="AE93" i="1"/>
  <c r="AF93" i="1"/>
  <c r="AG93" i="1"/>
  <c r="AE94" i="1"/>
  <c r="AF94" i="1"/>
  <c r="AG94" i="1"/>
  <c r="AE95" i="1"/>
  <c r="AF95" i="1"/>
  <c r="AG95" i="1"/>
  <c r="AE96" i="1"/>
  <c r="AF96" i="1"/>
  <c r="AE97" i="1"/>
  <c r="AF97" i="1"/>
  <c r="AE98" i="1"/>
  <c r="AF98" i="1"/>
  <c r="AE99" i="1"/>
  <c r="AF99" i="1"/>
  <c r="AE100" i="1"/>
  <c r="AF100" i="1"/>
  <c r="AE101" i="1"/>
  <c r="AF101" i="1"/>
  <c r="AG101" i="1"/>
  <c r="AE103" i="1"/>
  <c r="AF103" i="1"/>
  <c r="AE104" i="1"/>
  <c r="AF104" i="1"/>
  <c r="AE105" i="1"/>
  <c r="AF105" i="1"/>
  <c r="AG105" i="1"/>
  <c r="AE108" i="1"/>
  <c r="AF108" i="1"/>
  <c r="AG108" i="1"/>
  <c r="AE110" i="1"/>
  <c r="AF110" i="1"/>
  <c r="AG110" i="1"/>
  <c r="AE112" i="1"/>
  <c r="AF112" i="1"/>
  <c r="AE114" i="1"/>
  <c r="AF114" i="1"/>
  <c r="AG114" i="1"/>
  <c r="AE115" i="1"/>
  <c r="AF115" i="1"/>
  <c r="AG115" i="1"/>
  <c r="AE116" i="1"/>
  <c r="AF116" i="1"/>
  <c r="AG116" i="1"/>
  <c r="AE118" i="1"/>
  <c r="AF118" i="1"/>
  <c r="AG118" i="1"/>
  <c r="AE121" i="1"/>
  <c r="AF121" i="1"/>
  <c r="AE123" i="1"/>
  <c r="AF123" i="1"/>
  <c r="AE129" i="1"/>
  <c r="AF129" i="1"/>
  <c r="AE130" i="1"/>
  <c r="AF130" i="1"/>
  <c r="AG130" i="1"/>
  <c r="AE131" i="1"/>
  <c r="AF131" i="1"/>
  <c r="AE133" i="1"/>
  <c r="AG133" i="1"/>
  <c r="AE135" i="1"/>
  <c r="AE136" i="1"/>
  <c r="AF136" i="1"/>
  <c r="AE139" i="1"/>
  <c r="AF139" i="1"/>
  <c r="AE140" i="1"/>
  <c r="AF140" i="1"/>
  <c r="AE141" i="1"/>
  <c r="AF141" i="1"/>
  <c r="AE142" i="1"/>
  <c r="AF142" i="1"/>
  <c r="AE143" i="1"/>
  <c r="AF143" i="1"/>
  <c r="AE144" i="1"/>
  <c r="AF144" i="1"/>
  <c r="AE145" i="1"/>
  <c r="AF145" i="1"/>
  <c r="AE146" i="1"/>
  <c r="AF146" i="1"/>
  <c r="AE147" i="1"/>
  <c r="AF147" i="1"/>
  <c r="AE148" i="1"/>
  <c r="AF148" i="1"/>
  <c r="AE149" i="1"/>
  <c r="AF149" i="1"/>
  <c r="AE150" i="1"/>
  <c r="AF150" i="1"/>
  <c r="AE152" i="1"/>
  <c r="AF152" i="1"/>
  <c r="AE155" i="1"/>
  <c r="AF155" i="1"/>
  <c r="AE156" i="1"/>
  <c r="AF156" i="1"/>
  <c r="AE157" i="1"/>
  <c r="AF157" i="1"/>
  <c r="AE158" i="1"/>
  <c r="AF158" i="1"/>
  <c r="AE159" i="1"/>
  <c r="AF159" i="1"/>
  <c r="AE160" i="1"/>
  <c r="AF160" i="1"/>
  <c r="AE161" i="1"/>
  <c r="AF161" i="1"/>
  <c r="AE165" i="1"/>
  <c r="AF165" i="1"/>
  <c r="AG165" i="1"/>
  <c r="AE167" i="1"/>
  <c r="AF167" i="1"/>
  <c r="AE168" i="1"/>
  <c r="AF168" i="1"/>
  <c r="AE169" i="1"/>
  <c r="AF169" i="1"/>
  <c r="AE179" i="1"/>
  <c r="AF179" i="1"/>
  <c r="AG179" i="1"/>
  <c r="AF180" i="1"/>
  <c r="AE183" i="1"/>
  <c r="AF183" i="1"/>
  <c r="AG183" i="1"/>
  <c r="X48" i="1"/>
  <c r="X47" i="1"/>
  <c r="X46" i="1"/>
  <c r="AI93" i="1" l="1"/>
  <c r="X45" i="1"/>
  <c r="X43" i="1"/>
  <c r="X38" i="1"/>
  <c r="X40" i="1"/>
  <c r="X39" i="1"/>
  <c r="X37" i="1"/>
  <c r="X36" i="1"/>
  <c r="X35" i="1"/>
  <c r="X34" i="1"/>
  <c r="X33" i="1"/>
  <c r="X32" i="1"/>
  <c r="X31" i="1"/>
  <c r="X30" i="1"/>
  <c r="X29" i="1"/>
  <c r="X27" i="1"/>
  <c r="X26" i="1"/>
  <c r="P45" i="1"/>
  <c r="R26" i="1" l="1"/>
  <c r="Q26" i="1"/>
  <c r="AI85" i="1" l="1"/>
  <c r="AI130" i="1"/>
  <c r="X158" i="1" l="1"/>
  <c r="X157" i="1"/>
  <c r="X156" i="1"/>
  <c r="X155" i="1"/>
  <c r="X152" i="1"/>
  <c r="Q159" i="1"/>
  <c r="M159" i="1"/>
  <c r="N159" i="1" s="1"/>
  <c r="M157" i="1"/>
  <c r="N157" i="1" s="1"/>
  <c r="P155" i="1"/>
  <c r="M155" i="1"/>
  <c r="N155" i="1" s="1"/>
  <c r="R155" i="1" l="1"/>
  <c r="R159" i="1"/>
  <c r="R157" i="1"/>
  <c r="Q157" i="1"/>
  <c r="Q155" i="1"/>
  <c r="U146" i="1" l="1"/>
  <c r="AI169" i="1" l="1"/>
  <c r="AJ169" i="1" s="1"/>
  <c r="AI168" i="1"/>
  <c r="AJ168" i="1" s="1"/>
  <c r="AI167" i="1"/>
  <c r="AJ167" i="1" s="1"/>
  <c r="AI108" i="1" l="1"/>
  <c r="X110" i="1"/>
  <c r="X108" i="1"/>
  <c r="X85" i="1"/>
  <c r="AI110" i="1" l="1"/>
  <c r="X67" i="1" l="1"/>
  <c r="X64" i="1"/>
  <c r="U134" i="1" l="1"/>
  <c r="X130" i="1" l="1"/>
  <c r="X65" i="1" l="1"/>
  <c r="M22" i="1" l="1"/>
  <c r="N22" i="1" s="1"/>
  <c r="AD22" i="1" s="1"/>
  <c r="AF22" i="1" s="1"/>
  <c r="P22" i="1"/>
  <c r="Q22" i="1" s="1"/>
  <c r="X22" i="1"/>
  <c r="X23" i="1"/>
  <c r="AI23" i="1"/>
  <c r="X24" i="1"/>
  <c r="AI24" i="1"/>
  <c r="X25" i="1"/>
  <c r="P43" i="1"/>
  <c r="X41" i="1"/>
  <c r="X42" i="1"/>
  <c r="M50" i="1"/>
  <c r="N50" i="1" s="1"/>
  <c r="P50" i="1"/>
  <c r="Q50" i="1" s="1"/>
  <c r="X50" i="1"/>
  <c r="U51" i="1"/>
  <c r="X51" i="1"/>
  <c r="X52" i="1"/>
  <c r="M53" i="1"/>
  <c r="N53" i="1" s="1"/>
  <c r="X53" i="1"/>
  <c r="X54" i="1"/>
  <c r="M55" i="1"/>
  <c r="N55" i="1" s="1"/>
  <c r="X55" i="1"/>
  <c r="X56" i="1"/>
  <c r="X57" i="1"/>
  <c r="X58" i="1"/>
  <c r="M59" i="1"/>
  <c r="N59" i="1" s="1"/>
  <c r="X59" i="1"/>
  <c r="X60" i="1"/>
  <c r="X61" i="1"/>
  <c r="M62" i="1"/>
  <c r="N62" i="1" s="1"/>
  <c r="X62" i="1"/>
  <c r="X63" i="1"/>
  <c r="M64" i="1"/>
  <c r="N64" i="1" s="1"/>
  <c r="X66" i="1"/>
  <c r="M68" i="1"/>
  <c r="N68" i="1" s="1"/>
  <c r="X68" i="1"/>
  <c r="M69" i="1"/>
  <c r="N69" i="1" s="1"/>
  <c r="X69" i="1"/>
  <c r="X70" i="1"/>
  <c r="X71" i="1"/>
  <c r="M72" i="1"/>
  <c r="N72" i="1" s="1"/>
  <c r="X72" i="1"/>
  <c r="M73" i="1"/>
  <c r="N73" i="1" s="1"/>
  <c r="X73" i="1"/>
  <c r="M74" i="1"/>
  <c r="N74" i="1" s="1"/>
  <c r="P74" i="1"/>
  <c r="Q74" i="1" s="1"/>
  <c r="U74" i="1"/>
  <c r="AH74" i="1" s="1"/>
  <c r="AG74" i="1" s="1"/>
  <c r="X74" i="1"/>
  <c r="M75" i="1"/>
  <c r="N75" i="1" s="1"/>
  <c r="P75" i="1"/>
  <c r="Q75" i="1" s="1"/>
  <c r="U75" i="1"/>
  <c r="X75" i="1"/>
  <c r="M76" i="1"/>
  <c r="N76" i="1" s="1"/>
  <c r="P76" i="1"/>
  <c r="Q76" i="1" s="1"/>
  <c r="U76" i="1"/>
  <c r="X76" i="1"/>
  <c r="M77" i="1"/>
  <c r="N77" i="1" s="1"/>
  <c r="P77" i="1"/>
  <c r="Q77" i="1" s="1"/>
  <c r="U77" i="1"/>
  <c r="X77" i="1"/>
  <c r="U78" i="1"/>
  <c r="X78" i="1"/>
  <c r="M79" i="1"/>
  <c r="N79" i="1" s="1"/>
  <c r="P79" i="1"/>
  <c r="Q79" i="1" s="1"/>
  <c r="U79" i="1"/>
  <c r="X79" i="1"/>
  <c r="M80" i="1"/>
  <c r="P80" i="1"/>
  <c r="Q80" i="1" s="1"/>
  <c r="U80" i="1"/>
  <c r="X80" i="1"/>
  <c r="U81" i="1"/>
  <c r="X81" i="1"/>
  <c r="U82" i="1"/>
  <c r="X82" i="1"/>
  <c r="M83" i="1"/>
  <c r="N83" i="1" s="1"/>
  <c r="P83" i="1"/>
  <c r="Q83" i="1" s="1"/>
  <c r="U83" i="1"/>
  <c r="X83" i="1"/>
  <c r="N84" i="1"/>
  <c r="P84" i="1"/>
  <c r="Q84" i="1" s="1"/>
  <c r="U84" i="1"/>
  <c r="X84" i="1"/>
  <c r="X86" i="1"/>
  <c r="M87" i="1"/>
  <c r="N87" i="1" s="1"/>
  <c r="P87" i="1"/>
  <c r="Q87" i="1" s="1"/>
  <c r="X87" i="1"/>
  <c r="U88" i="1"/>
  <c r="X88" i="1"/>
  <c r="M89" i="1"/>
  <c r="N89" i="1" s="1"/>
  <c r="P89" i="1"/>
  <c r="Q89" i="1" s="1"/>
  <c r="AH90" i="1" s="1"/>
  <c r="AG90" i="1" s="1"/>
  <c r="X89" i="1"/>
  <c r="X90" i="1"/>
  <c r="M91" i="1"/>
  <c r="Q91" i="1"/>
  <c r="X91" i="1"/>
  <c r="X92" i="1"/>
  <c r="M93" i="1"/>
  <c r="Q93" i="1"/>
  <c r="X93" i="1"/>
  <c r="X94" i="1"/>
  <c r="X95" i="1"/>
  <c r="M96" i="1"/>
  <c r="N96" i="1" s="1"/>
  <c r="Q96" i="1"/>
  <c r="U96" i="1"/>
  <c r="X96" i="1"/>
  <c r="U97" i="1"/>
  <c r="X97" i="1"/>
  <c r="M98" i="1"/>
  <c r="R98" i="1" s="1"/>
  <c r="Q98" i="1"/>
  <c r="U98" i="1"/>
  <c r="X98" i="1"/>
  <c r="U99" i="1"/>
  <c r="AH99" i="1" s="1"/>
  <c r="X99" i="1"/>
  <c r="M100" i="1"/>
  <c r="N100" i="1" s="1"/>
  <c r="P100" i="1"/>
  <c r="Q100" i="1" s="1"/>
  <c r="U100" i="1"/>
  <c r="X100" i="1"/>
  <c r="U101" i="1"/>
  <c r="X101" i="1"/>
  <c r="M103" i="1"/>
  <c r="N103" i="1" s="1"/>
  <c r="P103" i="1"/>
  <c r="Q103" i="1" s="1"/>
  <c r="U103" i="1"/>
  <c r="X103" i="1"/>
  <c r="M104" i="1"/>
  <c r="N104" i="1" s="1"/>
  <c r="P104" i="1"/>
  <c r="Q104" i="1" s="1"/>
  <c r="AH104" i="1" s="1"/>
  <c r="AG104" i="1" s="1"/>
  <c r="X104" i="1"/>
  <c r="X105" i="1"/>
  <c r="M107" i="1"/>
  <c r="N107" i="1" s="1"/>
  <c r="P107" i="1"/>
  <c r="U107" i="1"/>
  <c r="X107" i="1"/>
  <c r="M112" i="1"/>
  <c r="N112" i="1" s="1"/>
  <c r="Q112" i="1"/>
  <c r="U112" i="1"/>
  <c r="X112" i="1"/>
  <c r="M113" i="1"/>
  <c r="N113" i="1" s="1"/>
  <c r="P113" i="1"/>
  <c r="U113" i="1"/>
  <c r="X113" i="1"/>
  <c r="U114" i="1"/>
  <c r="X114" i="1"/>
  <c r="M115" i="1"/>
  <c r="N115" i="1" s="1"/>
  <c r="P115" i="1"/>
  <c r="Q115" i="1" s="1"/>
  <c r="U115" i="1"/>
  <c r="X115" i="1"/>
  <c r="U116" i="1"/>
  <c r="X116" i="1"/>
  <c r="L117" i="1"/>
  <c r="M117" i="1" s="1"/>
  <c r="P117" i="1"/>
  <c r="Q117" i="1" s="1"/>
  <c r="U117" i="1"/>
  <c r="X117" i="1"/>
  <c r="U118" i="1"/>
  <c r="X118" i="1"/>
  <c r="L119" i="1"/>
  <c r="M119" i="1" s="1"/>
  <c r="N119" i="1" s="1"/>
  <c r="P119" i="1"/>
  <c r="Q119" i="1" s="1"/>
  <c r="U119" i="1"/>
  <c r="X119" i="1"/>
  <c r="L120" i="1"/>
  <c r="M120" i="1" s="1"/>
  <c r="N120" i="1" s="1"/>
  <c r="P120" i="1"/>
  <c r="Q120" i="1" s="1"/>
  <c r="U120" i="1"/>
  <c r="X120" i="1"/>
  <c r="M121" i="1"/>
  <c r="N121" i="1" s="1"/>
  <c r="P121" i="1"/>
  <c r="Q121" i="1" s="1"/>
  <c r="U121" i="1"/>
  <c r="X121" i="1"/>
  <c r="M122" i="1"/>
  <c r="N122" i="1" s="1"/>
  <c r="P122" i="1"/>
  <c r="Q122" i="1" s="1"/>
  <c r="U122" i="1"/>
  <c r="X122" i="1"/>
  <c r="U123" i="1"/>
  <c r="M129" i="1"/>
  <c r="N129" i="1" s="1"/>
  <c r="P129" i="1"/>
  <c r="U129" i="1"/>
  <c r="X129" i="1"/>
  <c r="M131" i="1"/>
  <c r="N131" i="1" s="1"/>
  <c r="P131" i="1"/>
  <c r="Q131" i="1" s="1"/>
  <c r="U131" i="1"/>
  <c r="X131" i="1"/>
  <c r="M132" i="1"/>
  <c r="N132" i="1" s="1"/>
  <c r="P132" i="1"/>
  <c r="Q132" i="1" s="1"/>
  <c r="U132" i="1"/>
  <c r="X132" i="1"/>
  <c r="U133" i="1"/>
  <c r="X133" i="1"/>
  <c r="M134" i="1"/>
  <c r="N134" i="1" s="1"/>
  <c r="P134" i="1"/>
  <c r="Q134" i="1" s="1"/>
  <c r="X134" i="1"/>
  <c r="U135" i="1"/>
  <c r="X135" i="1"/>
  <c r="M136" i="1"/>
  <c r="N136" i="1" s="1"/>
  <c r="P136" i="1"/>
  <c r="Q136" i="1" s="1"/>
  <c r="U136" i="1"/>
  <c r="X136" i="1"/>
  <c r="N139" i="1"/>
  <c r="P139" i="1"/>
  <c r="M140" i="1"/>
  <c r="N140" i="1" s="1"/>
  <c r="P140" i="1"/>
  <c r="Q140" i="1" s="1"/>
  <c r="AH140" i="1" s="1"/>
  <c r="AG140" i="1" s="1"/>
  <c r="X140" i="1"/>
  <c r="M141" i="1"/>
  <c r="N141" i="1" s="1"/>
  <c r="P141" i="1"/>
  <c r="U141" i="1"/>
  <c r="X141" i="1"/>
  <c r="U142" i="1"/>
  <c r="X142" i="1"/>
  <c r="U143" i="1"/>
  <c r="X143" i="1"/>
  <c r="M144" i="1"/>
  <c r="N144" i="1" s="1"/>
  <c r="P144" i="1"/>
  <c r="Q144" i="1" s="1"/>
  <c r="U144" i="1"/>
  <c r="X144" i="1"/>
  <c r="M145" i="1"/>
  <c r="N145" i="1" s="1"/>
  <c r="P145" i="1"/>
  <c r="U145" i="1"/>
  <c r="X145" i="1"/>
  <c r="X146" i="1"/>
  <c r="M147" i="1"/>
  <c r="N147" i="1" s="1"/>
  <c r="P147" i="1"/>
  <c r="Q147" i="1" s="1"/>
  <c r="X147" i="1"/>
  <c r="X148" i="1"/>
  <c r="M149" i="1"/>
  <c r="N149" i="1" s="1"/>
  <c r="Q149" i="1"/>
  <c r="X149" i="1"/>
  <c r="X150" i="1"/>
  <c r="U159" i="1"/>
  <c r="X159" i="1"/>
  <c r="M160" i="1"/>
  <c r="N160" i="1" s="1"/>
  <c r="P160" i="1"/>
  <c r="Q160" i="1" s="1"/>
  <c r="U160" i="1"/>
  <c r="X160" i="1"/>
  <c r="U161" i="1"/>
  <c r="X161" i="1"/>
  <c r="M165" i="1"/>
  <c r="N165" i="1" s="1"/>
  <c r="P165" i="1"/>
  <c r="Q165" i="1" s="1"/>
  <c r="X165" i="1"/>
  <c r="M166" i="1"/>
  <c r="N166" i="1" s="1"/>
  <c r="P166" i="1"/>
  <c r="Q166" i="1" s="1"/>
  <c r="X166" i="1"/>
  <c r="U167" i="1"/>
  <c r="X167" i="1"/>
  <c r="X168" i="1"/>
  <c r="X169" i="1"/>
  <c r="M170" i="1"/>
  <c r="N170" i="1" s="1"/>
  <c r="Q170" i="1"/>
  <c r="X170" i="1"/>
  <c r="M171" i="1"/>
  <c r="R171" i="1" s="1"/>
  <c r="Q171" i="1"/>
  <c r="AH171" i="1" s="1"/>
  <c r="AG171" i="1" s="1"/>
  <c r="X171" i="1"/>
  <c r="M175" i="1"/>
  <c r="N175" i="1" s="1"/>
  <c r="P175" i="1"/>
  <c r="Q175" i="1" s="1"/>
  <c r="U175" i="1"/>
  <c r="X175" i="1"/>
  <c r="M178" i="1"/>
  <c r="N178" i="1" s="1"/>
  <c r="P178" i="1"/>
  <c r="Q178" i="1" s="1"/>
  <c r="U178" i="1"/>
  <c r="X178" i="1"/>
  <c r="U179" i="1"/>
  <c r="X179" i="1"/>
  <c r="M180" i="1"/>
  <c r="N180" i="1" s="1"/>
  <c r="P180" i="1"/>
  <c r="Q180" i="1" s="1"/>
  <c r="U180" i="1"/>
  <c r="X180" i="1"/>
  <c r="M182" i="1"/>
  <c r="N182" i="1" s="1"/>
  <c r="P182" i="1"/>
  <c r="X182" i="1"/>
  <c r="U183" i="1"/>
  <c r="X183" i="1"/>
  <c r="AD134" i="1" l="1"/>
  <c r="AE134" i="1" s="1"/>
  <c r="AD132" i="1"/>
  <c r="AE132" i="1" s="1"/>
  <c r="AD120" i="1"/>
  <c r="AF120" i="1" s="1"/>
  <c r="AD119" i="1"/>
  <c r="AF119" i="1" s="1"/>
  <c r="AD113" i="1"/>
  <c r="AF113" i="1" s="1"/>
  <c r="AD107" i="1"/>
  <c r="AF107" i="1" s="1"/>
  <c r="AD170" i="1"/>
  <c r="AE170" i="1" s="1"/>
  <c r="AD166" i="1"/>
  <c r="AD122" i="1"/>
  <c r="AD182" i="1"/>
  <c r="AD178" i="1"/>
  <c r="AD175" i="1"/>
  <c r="Q41" i="1"/>
  <c r="R41" i="1"/>
  <c r="AI41" i="1"/>
  <c r="AI91" i="1"/>
  <c r="R139" i="1"/>
  <c r="AH121" i="1"/>
  <c r="AG121" i="1" s="1"/>
  <c r="AI57" i="1"/>
  <c r="AI51" i="1"/>
  <c r="R129" i="1"/>
  <c r="AI58" i="1"/>
  <c r="AI101" i="1"/>
  <c r="AI143" i="1"/>
  <c r="AJ143" i="1" s="1"/>
  <c r="AI179" i="1"/>
  <c r="N171" i="1"/>
  <c r="AD171" i="1" s="1"/>
  <c r="AH147" i="1"/>
  <c r="AG147" i="1" s="1"/>
  <c r="AH117" i="1"/>
  <c r="AG117" i="1" s="1"/>
  <c r="AI115" i="1"/>
  <c r="AH112" i="1"/>
  <c r="AG112" i="1" s="1"/>
  <c r="AH92" i="1"/>
  <c r="AG92" i="1" s="1"/>
  <c r="AI55" i="1"/>
  <c r="AH131" i="1"/>
  <c r="AI54" i="1"/>
  <c r="AH77" i="1"/>
  <c r="R144" i="1"/>
  <c r="AI94" i="1"/>
  <c r="AI89" i="1"/>
  <c r="R89" i="1"/>
  <c r="R140" i="1"/>
  <c r="AH180" i="1"/>
  <c r="AG180" i="1" s="1"/>
  <c r="R165" i="1"/>
  <c r="AH141" i="1"/>
  <c r="AH100" i="1"/>
  <c r="AG100" i="1" s="1"/>
  <c r="N98" i="1"/>
  <c r="AH96" i="1"/>
  <c r="AG96" i="1" s="1"/>
  <c r="AI60" i="1"/>
  <c r="AH178" i="1"/>
  <c r="AG178" i="1" s="1"/>
  <c r="R136" i="1"/>
  <c r="AH134" i="1"/>
  <c r="AG134" i="1" s="1"/>
  <c r="AI95" i="1"/>
  <c r="AH84" i="1"/>
  <c r="AH75" i="1"/>
  <c r="AI25" i="1"/>
  <c r="AI183" i="1"/>
  <c r="R160" i="1"/>
  <c r="AI142" i="1"/>
  <c r="AJ142" i="1" s="1"/>
  <c r="R132" i="1"/>
  <c r="R103" i="1"/>
  <c r="AJ100" i="1"/>
  <c r="R96" i="1"/>
  <c r="R87" i="1"/>
  <c r="AH80" i="1"/>
  <c r="AI59" i="1"/>
  <c r="AI42" i="1"/>
  <c r="R182" i="1"/>
  <c r="R180" i="1"/>
  <c r="R170" i="1"/>
  <c r="R166" i="1"/>
  <c r="AH160" i="1"/>
  <c r="R149" i="1"/>
  <c r="AJ149" i="1" s="1"/>
  <c r="R147" i="1"/>
  <c r="R145" i="1"/>
  <c r="R134" i="1"/>
  <c r="R120" i="1"/>
  <c r="R115" i="1"/>
  <c r="R104" i="1"/>
  <c r="R100" i="1"/>
  <c r="AI81" i="1"/>
  <c r="AJ56" i="1" s="1"/>
  <c r="AI56" i="1"/>
  <c r="AI53" i="1"/>
  <c r="Q139" i="1"/>
  <c r="AH139" i="1" s="1"/>
  <c r="AG139" i="1" s="1"/>
  <c r="R122" i="1"/>
  <c r="R121" i="1"/>
  <c r="AI118" i="1"/>
  <c r="AJ118" i="1" s="1"/>
  <c r="AH82" i="1"/>
  <c r="R74" i="1"/>
  <c r="AI52" i="1"/>
  <c r="R22" i="1"/>
  <c r="AI104" i="1"/>
  <c r="AI105" i="1"/>
  <c r="N80" i="1"/>
  <c r="R80" i="1"/>
  <c r="AH175" i="1"/>
  <c r="AG175" i="1" s="1"/>
  <c r="AH122" i="1"/>
  <c r="AG122" i="1" s="1"/>
  <c r="AH119" i="1"/>
  <c r="AG119" i="1" s="1"/>
  <c r="R117" i="1"/>
  <c r="N117" i="1"/>
  <c r="AD117" i="1" s="1"/>
  <c r="AH103" i="1"/>
  <c r="AG103" i="1" s="1"/>
  <c r="R178" i="1"/>
  <c r="AH159" i="1"/>
  <c r="AG159" i="1" s="1"/>
  <c r="Q145" i="1"/>
  <c r="AH145" i="1" s="1"/>
  <c r="AG145" i="1" s="1"/>
  <c r="R141" i="1"/>
  <c r="R131" i="1"/>
  <c r="Q129" i="1"/>
  <c r="AH129" i="1" s="1"/>
  <c r="AH120" i="1"/>
  <c r="AG120" i="1" s="1"/>
  <c r="R119" i="1"/>
  <c r="R175" i="1"/>
  <c r="AH136" i="1"/>
  <c r="AG136" i="1" s="1"/>
  <c r="Q182" i="1"/>
  <c r="AH182" i="1" s="1"/>
  <c r="AG182" i="1" s="1"/>
  <c r="AH170" i="1"/>
  <c r="AG170" i="1" s="1"/>
  <c r="AH144" i="1"/>
  <c r="AG144" i="1" s="1"/>
  <c r="AH132" i="1"/>
  <c r="AG132" i="1" s="1"/>
  <c r="R93" i="1"/>
  <c r="N93" i="1"/>
  <c r="AI133" i="1"/>
  <c r="AI114" i="1"/>
  <c r="Q113" i="1"/>
  <c r="AH113" i="1" s="1"/>
  <c r="AG113" i="1" s="1"/>
  <c r="R113" i="1"/>
  <c r="Q107" i="1"/>
  <c r="AH107" i="1" s="1"/>
  <c r="AG107" i="1" s="1"/>
  <c r="R107" i="1"/>
  <c r="N91" i="1"/>
  <c r="R91" i="1"/>
  <c r="R112" i="1"/>
  <c r="AH98" i="1"/>
  <c r="AG98" i="1" s="1"/>
  <c r="AH88" i="1"/>
  <c r="AG88" i="1" s="1"/>
  <c r="AH83" i="1"/>
  <c r="AG83" i="1" s="1"/>
  <c r="R77" i="1"/>
  <c r="R76" i="1"/>
  <c r="R75" i="1"/>
  <c r="R79" i="1"/>
  <c r="R50" i="1"/>
  <c r="AH97" i="1" l="1"/>
  <c r="AG97" i="1" s="1"/>
  <c r="AF170" i="1"/>
  <c r="AG160" i="1"/>
  <c r="AI160" i="1" s="1"/>
  <c r="AJ160" i="1" s="1"/>
  <c r="AH162" i="1"/>
  <c r="AF132" i="1"/>
  <c r="AJ183" i="1"/>
  <c r="AJ184" i="1"/>
  <c r="AE113" i="1"/>
  <c r="AI113" i="1" s="1"/>
  <c r="AE119" i="1"/>
  <c r="AI119" i="1" s="1"/>
  <c r="AJ119" i="1" s="1"/>
  <c r="AE107" i="1"/>
  <c r="AI107" i="1" s="1"/>
  <c r="AJ109" i="1" s="1"/>
  <c r="AE120" i="1"/>
  <c r="AI120" i="1" s="1"/>
  <c r="AJ120" i="1" s="1"/>
  <c r="AF117" i="1"/>
  <c r="AE117" i="1"/>
  <c r="AI117" i="1" s="1"/>
  <c r="AJ117" i="1" s="1"/>
  <c r="AG75" i="1"/>
  <c r="AI75" i="1" s="1"/>
  <c r="AG77" i="1"/>
  <c r="AI77" i="1" s="1"/>
  <c r="AJ52" i="1" s="1"/>
  <c r="AG131" i="1"/>
  <c r="AI131" i="1" s="1"/>
  <c r="AE178" i="1"/>
  <c r="AI178" i="1" s="1"/>
  <c r="AJ178" i="1" s="1"/>
  <c r="AF178" i="1"/>
  <c r="AE122" i="1"/>
  <c r="AI122" i="1" s="1"/>
  <c r="AF122" i="1"/>
  <c r="AG84" i="1"/>
  <c r="AI84" i="1" s="1"/>
  <c r="AG50" i="1"/>
  <c r="AI50" i="1" s="1"/>
  <c r="AE182" i="1"/>
  <c r="AI182" i="1" s="1"/>
  <c r="AJ182" i="1" s="1"/>
  <c r="AF182" i="1"/>
  <c r="AF166" i="1"/>
  <c r="AE166" i="1"/>
  <c r="AI166" i="1" s="1"/>
  <c r="AJ166" i="1" s="1"/>
  <c r="AG80" i="1"/>
  <c r="AI80" i="1" s="1"/>
  <c r="AG129" i="1"/>
  <c r="AI129" i="1" s="1"/>
  <c r="AG82" i="1"/>
  <c r="AI82" i="1" s="1"/>
  <c r="AJ57" i="1" s="1"/>
  <c r="AE171" i="1"/>
  <c r="AI171" i="1" s="1"/>
  <c r="AF171" i="1"/>
  <c r="AE175" i="1"/>
  <c r="AI175" i="1" s="1"/>
  <c r="AJ177" i="1" s="1"/>
  <c r="AF175" i="1"/>
  <c r="AI134" i="1"/>
  <c r="AI180" i="1"/>
  <c r="AI121" i="1"/>
  <c r="AJ121" i="1" s="1"/>
  <c r="AH146" i="1"/>
  <c r="AG146" i="1" s="1"/>
  <c r="AI141" i="1"/>
  <c r="AJ141" i="1" s="1"/>
  <c r="AH87" i="1"/>
  <c r="AH148" i="1"/>
  <c r="AG148" i="1" s="1"/>
  <c r="AI112" i="1"/>
  <c r="AI165" i="1"/>
  <c r="AJ165" i="1" s="1"/>
  <c r="AH76" i="1"/>
  <c r="AH79" i="1" s="1"/>
  <c r="AH78" i="1"/>
  <c r="AH123" i="1"/>
  <c r="AI83" i="1"/>
  <c r="AJ58" i="1" s="1"/>
  <c r="AJ82" i="1"/>
  <c r="AJ96" i="1"/>
  <c r="AI97" i="1"/>
  <c r="AJ97" i="1" s="1"/>
  <c r="AI92" i="1"/>
  <c r="AJ132" i="1"/>
  <c r="AJ133" i="1"/>
  <c r="AH135" i="1"/>
  <c r="AG135" i="1" s="1"/>
  <c r="AI144" i="1"/>
  <c r="AJ144" i="1" s="1"/>
  <c r="AI170" i="1"/>
  <c r="AJ170" i="1" s="1"/>
  <c r="AI136" i="1"/>
  <c r="AI98" i="1"/>
  <c r="AJ98" i="1" s="1"/>
  <c r="AI99" i="1"/>
  <c r="AJ99" i="1" s="1"/>
  <c r="AI100" i="1"/>
  <c r="AI88" i="1"/>
  <c r="AJ67" i="1" s="1"/>
  <c r="AJ95" i="1"/>
  <c r="AI96" i="1"/>
  <c r="AI103" i="1"/>
  <c r="AJ106" i="1" s="1"/>
  <c r="AI145" i="1"/>
  <c r="AH86" i="1"/>
  <c r="AG86" i="1" s="1"/>
  <c r="AI90" i="1"/>
  <c r="AH161" i="1"/>
  <c r="AJ180" i="1"/>
  <c r="AJ179" i="1"/>
  <c r="AJ176" i="1" l="1"/>
  <c r="AJ173" i="1"/>
  <c r="AJ174" i="1"/>
  <c r="AG161" i="1"/>
  <c r="AI161" i="1" s="1"/>
  <c r="AJ161" i="1" s="1"/>
  <c r="AH163" i="1"/>
  <c r="AG163" i="1" s="1"/>
  <c r="AI163" i="1" s="1"/>
  <c r="AJ163" i="1" s="1"/>
  <c r="AJ112" i="1"/>
  <c r="AJ111" i="1"/>
  <c r="AJ175" i="1"/>
  <c r="AJ171" i="1"/>
  <c r="AH164" i="1"/>
  <c r="AG164" i="1" s="1"/>
  <c r="AI164" i="1" s="1"/>
  <c r="AJ164" i="1" s="1"/>
  <c r="AG162" i="1"/>
  <c r="AI162" i="1" s="1"/>
  <c r="AJ162" i="1" s="1"/>
  <c r="AJ81" i="1"/>
  <c r="AJ130" i="1"/>
  <c r="AJ129" i="1"/>
  <c r="AJ131" i="1"/>
  <c r="AJ80" i="1"/>
  <c r="AJ55" i="1"/>
  <c r="AJ59" i="1"/>
  <c r="AJ61" i="1"/>
  <c r="AG123" i="1"/>
  <c r="AI123" i="1" s="1"/>
  <c r="AJ123" i="1" s="1"/>
  <c r="AG76" i="1"/>
  <c r="AI76" i="1" s="1"/>
  <c r="AG79" i="1"/>
  <c r="AI79" i="1" s="1"/>
  <c r="AJ54" i="1" s="1"/>
  <c r="AG78" i="1"/>
  <c r="AI78" i="1" s="1"/>
  <c r="AJ53" i="1" s="1"/>
  <c r="AG87" i="1"/>
  <c r="AI87" i="1" s="1"/>
  <c r="AJ65" i="1" s="1"/>
  <c r="AJ107" i="1"/>
  <c r="AJ110" i="1"/>
  <c r="AJ108" i="1"/>
  <c r="AI159" i="1"/>
  <c r="AJ159" i="1" s="1"/>
  <c r="AI146" i="1"/>
  <c r="AJ145" i="1" s="1"/>
  <c r="AH149" i="1"/>
  <c r="AG149" i="1" s="1"/>
  <c r="AI135" i="1"/>
  <c r="AJ83" i="1"/>
  <c r="AI86" i="1"/>
  <c r="AI132" i="1"/>
  <c r="AJ103" i="1"/>
  <c r="AJ104" i="1"/>
  <c r="AJ105" i="1"/>
  <c r="AJ91" i="1"/>
  <c r="AJ89" i="1"/>
  <c r="AJ90" i="1"/>
  <c r="AJ88" i="1"/>
  <c r="AI139" i="1"/>
  <c r="AJ138" i="1" s="1"/>
  <c r="AI140" i="1"/>
  <c r="AJ114" i="1"/>
  <c r="AJ115" i="1"/>
  <c r="AJ113" i="1"/>
  <c r="AJ116" i="1"/>
  <c r="AJ94" i="1"/>
  <c r="AJ92" i="1"/>
  <c r="AJ93" i="1"/>
  <c r="AJ51" i="1"/>
  <c r="AJ50" i="1"/>
  <c r="AJ136" i="1" l="1"/>
  <c r="AJ122" i="1"/>
  <c r="AJ68" i="1"/>
  <c r="AJ79" i="1"/>
  <c r="AJ66" i="1"/>
  <c r="AJ64" i="1"/>
  <c r="AI147" i="1"/>
  <c r="AJ146" i="1"/>
  <c r="AH150" i="1"/>
  <c r="AG150" i="1" s="1"/>
  <c r="AJ135" i="1"/>
  <c r="AJ134" i="1"/>
  <c r="AJ60" i="1"/>
  <c r="AJ62" i="1"/>
  <c r="AJ63" i="1"/>
  <c r="AI148" i="1"/>
  <c r="AJ139" i="1"/>
  <c r="AJ140" i="1"/>
  <c r="AH152" i="1" l="1"/>
  <c r="AG152" i="1" s="1"/>
  <c r="AJ147" i="1"/>
  <c r="AJ148" i="1"/>
  <c r="AI149" i="1"/>
  <c r="AI152" i="1" l="1"/>
  <c r="AJ152" i="1" s="1"/>
  <c r="AH155" i="1"/>
  <c r="AG155" i="1" s="1"/>
  <c r="AI150" i="1"/>
  <c r="AJ150" i="1" s="1"/>
  <c r="AI155" i="1" l="1"/>
  <c r="AJ155" i="1" s="1"/>
  <c r="AI156" i="1" l="1"/>
  <c r="AJ156" i="1" s="1"/>
  <c r="AH157" i="1"/>
  <c r="AG157" i="1" s="1"/>
  <c r="AI157" i="1" l="1"/>
  <c r="AJ157" i="1" s="1"/>
  <c r="AH158" i="1"/>
  <c r="AG158" i="1" l="1"/>
  <c r="AI158" i="1" s="1"/>
  <c r="AJ158" i="1" s="1"/>
  <c r="J6" i="18"/>
  <c r="N6" i="18" l="1"/>
  <c r="R6" i="18"/>
  <c r="V6" i="18"/>
  <c r="Z6" i="18"/>
  <c r="H8" i="18"/>
  <c r="J8" i="18"/>
  <c r="L8" i="18"/>
  <c r="N8" i="18"/>
  <c r="P8" i="18"/>
  <c r="R8" i="18"/>
  <c r="T8" i="18"/>
  <c r="V8" i="18"/>
  <c r="X8" i="18"/>
  <c r="Z8" i="18"/>
  <c r="J10" i="18"/>
  <c r="N10" i="18"/>
  <c r="R10" i="18"/>
  <c r="V10" i="18"/>
  <c r="Z10" i="18"/>
  <c r="H12" i="18"/>
  <c r="J12" i="18"/>
  <c r="L12" i="18"/>
  <c r="N12" i="18"/>
  <c r="P12" i="18"/>
  <c r="R12" i="18"/>
  <c r="T12" i="18"/>
  <c r="V12" i="18"/>
  <c r="X12" i="18"/>
  <c r="Z12" i="18"/>
  <c r="J14" i="18"/>
  <c r="N14" i="18"/>
  <c r="R14" i="18"/>
  <c r="V14" i="18"/>
  <c r="Z14" i="18"/>
  <c r="H16" i="18"/>
  <c r="J16" i="18"/>
  <c r="L16" i="18"/>
  <c r="N16" i="18"/>
  <c r="P16" i="18"/>
  <c r="R16" i="18"/>
  <c r="T16" i="18"/>
  <c r="V16" i="18"/>
  <c r="X16" i="18"/>
  <c r="Z16" i="18"/>
  <c r="J18" i="18"/>
  <c r="N18" i="18"/>
  <c r="R18" i="18"/>
  <c r="V18" i="18"/>
  <c r="Z18" i="18"/>
  <c r="H20" i="18"/>
  <c r="J20" i="18"/>
  <c r="L20" i="18"/>
  <c r="N20" i="18"/>
  <c r="P20" i="18"/>
  <c r="R20" i="18"/>
  <c r="T20" i="18"/>
  <c r="V20" i="18"/>
  <c r="X20" i="18"/>
  <c r="Z20" i="18"/>
  <c r="J22" i="18"/>
  <c r="N22" i="18"/>
  <c r="R22" i="18"/>
  <c r="V22" i="18"/>
  <c r="Z22" i="18"/>
  <c r="H24" i="18"/>
  <c r="J24" i="18"/>
  <c r="L24" i="18"/>
  <c r="N24" i="18"/>
  <c r="P24" i="18"/>
  <c r="R24" i="18"/>
  <c r="T24" i="18"/>
  <c r="V24" i="18"/>
  <c r="X24" i="18"/>
  <c r="Z24" i="18"/>
  <c r="I6" i="19"/>
  <c r="L6" i="19"/>
  <c r="O6" i="19"/>
  <c r="R6" i="19"/>
  <c r="U6" i="19"/>
  <c r="H7" i="19"/>
  <c r="I7" i="19"/>
  <c r="J7" i="19"/>
  <c r="K7" i="19"/>
  <c r="L7" i="19"/>
  <c r="M7" i="19"/>
  <c r="N7" i="19"/>
  <c r="O7" i="19"/>
  <c r="P7" i="19"/>
  <c r="Q7" i="19"/>
  <c r="R7" i="19"/>
  <c r="S7" i="19"/>
  <c r="T7" i="19"/>
  <c r="U7" i="19"/>
  <c r="V7" i="19"/>
  <c r="H8" i="19"/>
  <c r="I8" i="19"/>
  <c r="J8" i="19"/>
  <c r="K8" i="19"/>
  <c r="L8" i="19"/>
  <c r="M8" i="19"/>
  <c r="N8" i="19"/>
  <c r="O8" i="19"/>
  <c r="P8" i="19"/>
  <c r="Q8" i="19"/>
  <c r="R8" i="19"/>
  <c r="S8" i="19"/>
  <c r="T8" i="19"/>
  <c r="U8" i="19"/>
  <c r="V8" i="19"/>
  <c r="H9" i="19"/>
  <c r="I9" i="19"/>
  <c r="J9" i="19"/>
  <c r="K9" i="19"/>
  <c r="L9" i="19"/>
  <c r="M9" i="19"/>
  <c r="N9" i="19"/>
  <c r="O9" i="19"/>
  <c r="P9" i="19"/>
  <c r="Q9" i="19"/>
  <c r="R9" i="19"/>
  <c r="S9" i="19"/>
  <c r="T9" i="19"/>
  <c r="U9" i="19"/>
  <c r="V9" i="19"/>
  <c r="I10" i="19"/>
  <c r="L10" i="19"/>
  <c r="O10" i="19"/>
  <c r="R10" i="19"/>
  <c r="U10" i="19"/>
  <c r="H11" i="19"/>
  <c r="I11" i="19"/>
  <c r="J11" i="19"/>
  <c r="K11" i="19"/>
  <c r="L11" i="19"/>
  <c r="M11" i="19"/>
  <c r="N11" i="19"/>
  <c r="O11" i="19"/>
  <c r="P11" i="19"/>
  <c r="Q11" i="19"/>
  <c r="R11" i="19"/>
  <c r="S11" i="19"/>
  <c r="T11" i="19"/>
  <c r="U11" i="19"/>
  <c r="V11" i="19"/>
  <c r="H12" i="19"/>
  <c r="I12" i="19"/>
  <c r="J12" i="19"/>
  <c r="K12" i="19"/>
  <c r="L12" i="19"/>
  <c r="M12" i="19"/>
  <c r="N12" i="19"/>
  <c r="O12" i="19"/>
  <c r="P12" i="19"/>
  <c r="Q12" i="19"/>
  <c r="R12" i="19"/>
  <c r="S12" i="19"/>
  <c r="T12" i="19"/>
  <c r="U12" i="19"/>
  <c r="V12" i="19"/>
  <c r="H13" i="19"/>
  <c r="I13" i="19"/>
  <c r="J13" i="19"/>
  <c r="K13" i="19"/>
  <c r="L13" i="19"/>
  <c r="M13" i="19"/>
  <c r="N13" i="19"/>
  <c r="O13" i="19"/>
  <c r="P13" i="19"/>
  <c r="Q13" i="19"/>
  <c r="R13" i="19"/>
  <c r="S13" i="19"/>
  <c r="T13" i="19"/>
  <c r="U13" i="19"/>
  <c r="V13" i="19"/>
  <c r="I14" i="19"/>
  <c r="L14" i="19"/>
  <c r="O14" i="19"/>
  <c r="R14" i="19"/>
  <c r="U14" i="19"/>
  <c r="H15" i="19"/>
  <c r="I15" i="19"/>
  <c r="J15" i="19"/>
  <c r="K15" i="19"/>
  <c r="L15" i="19"/>
  <c r="M15" i="19"/>
  <c r="N15" i="19"/>
  <c r="O15" i="19"/>
  <c r="P15" i="19"/>
  <c r="Q15" i="19"/>
  <c r="R15" i="19"/>
  <c r="S15" i="19"/>
  <c r="T15" i="19"/>
  <c r="U15" i="19"/>
  <c r="V15" i="19"/>
  <c r="H16" i="19"/>
  <c r="I16" i="19"/>
  <c r="J16" i="19"/>
  <c r="K16" i="19"/>
  <c r="L16" i="19"/>
  <c r="M16" i="19"/>
  <c r="N16" i="19"/>
  <c r="O16" i="19"/>
  <c r="P16" i="19"/>
  <c r="Q16" i="19"/>
  <c r="R16" i="19"/>
  <c r="S16" i="19"/>
  <c r="T16" i="19"/>
  <c r="U16" i="19"/>
  <c r="V16" i="19"/>
  <c r="H17" i="19"/>
  <c r="I17" i="19"/>
  <c r="J17" i="19"/>
  <c r="K17" i="19"/>
  <c r="L17" i="19"/>
  <c r="M17" i="19"/>
  <c r="N17" i="19"/>
  <c r="O17" i="19"/>
  <c r="P17" i="19"/>
  <c r="Q17" i="19"/>
  <c r="R17" i="19"/>
  <c r="S17" i="19"/>
  <c r="T17" i="19"/>
  <c r="U17" i="19"/>
  <c r="V17" i="19"/>
  <c r="I18" i="19"/>
  <c r="L18" i="19"/>
  <c r="O18" i="19"/>
  <c r="R18" i="19"/>
  <c r="U18" i="19"/>
  <c r="H19" i="19"/>
  <c r="I19" i="19"/>
  <c r="J19" i="19"/>
  <c r="K19" i="19"/>
  <c r="L19" i="19"/>
  <c r="M19" i="19"/>
  <c r="N19" i="19"/>
  <c r="O19" i="19"/>
  <c r="P19" i="19"/>
  <c r="Q19" i="19"/>
  <c r="R19" i="19"/>
  <c r="S19" i="19"/>
  <c r="T19" i="19"/>
  <c r="U19" i="19"/>
  <c r="V19" i="19"/>
  <c r="H20" i="19"/>
  <c r="I20" i="19"/>
  <c r="J20" i="19"/>
  <c r="K20" i="19"/>
  <c r="L20" i="19"/>
  <c r="M20" i="19"/>
  <c r="N20" i="19"/>
  <c r="O20" i="19"/>
  <c r="P20" i="19"/>
  <c r="Q20" i="19"/>
  <c r="R20" i="19"/>
  <c r="S20" i="19"/>
  <c r="T20" i="19"/>
  <c r="U20" i="19"/>
  <c r="V20" i="19"/>
  <c r="H21" i="19"/>
  <c r="I21" i="19"/>
  <c r="J21" i="19"/>
  <c r="K21" i="19"/>
  <c r="L21" i="19"/>
  <c r="M21" i="19"/>
  <c r="N21" i="19"/>
  <c r="O21" i="19"/>
  <c r="P21" i="19"/>
  <c r="Q21" i="19"/>
  <c r="R21" i="19"/>
  <c r="S21" i="19"/>
  <c r="T21" i="19"/>
  <c r="U21" i="19"/>
  <c r="V21" i="19"/>
  <c r="I22" i="19"/>
  <c r="L22" i="19"/>
  <c r="O22" i="19"/>
  <c r="R22" i="19"/>
  <c r="U22" i="19"/>
  <c r="H23" i="19"/>
  <c r="I23" i="19"/>
  <c r="J23" i="19"/>
  <c r="K23" i="19"/>
  <c r="L23" i="19"/>
  <c r="M23" i="19"/>
  <c r="N23" i="19"/>
  <c r="O23" i="19"/>
  <c r="P23" i="19"/>
  <c r="Q23" i="19"/>
  <c r="R23" i="19"/>
  <c r="S23" i="19"/>
  <c r="T23" i="19"/>
  <c r="U23" i="19"/>
  <c r="V23" i="19"/>
  <c r="H24" i="19"/>
  <c r="I24" i="19"/>
  <c r="J24" i="19"/>
  <c r="K24" i="19"/>
  <c r="L24" i="19"/>
  <c r="M24" i="19"/>
  <c r="N24" i="19"/>
  <c r="O24" i="19"/>
  <c r="P24" i="19"/>
  <c r="Q24" i="19"/>
  <c r="R24" i="19"/>
  <c r="S24" i="19"/>
  <c r="T24" i="19"/>
  <c r="U24" i="19"/>
  <c r="V24" i="19"/>
  <c r="X22" i="18" l="1"/>
  <c r="H22" i="18"/>
  <c r="P18" i="18"/>
  <c r="X14" i="18"/>
  <c r="H14" i="18"/>
  <c r="P10" i="18"/>
  <c r="X6" i="18"/>
  <c r="H6" i="18"/>
  <c r="T22" i="18"/>
  <c r="L18" i="18"/>
  <c r="T14" i="18"/>
  <c r="L10" i="18"/>
  <c r="T6" i="18"/>
  <c r="P22" i="18"/>
  <c r="X18" i="18"/>
  <c r="H18" i="18"/>
  <c r="P14" i="18"/>
  <c r="X10" i="18"/>
  <c r="H10" i="18"/>
  <c r="P6" i="18"/>
  <c r="L22" i="18"/>
  <c r="T18" i="18"/>
  <c r="L14" i="18"/>
  <c r="T10" i="18"/>
  <c r="L6" i="18"/>
  <c r="S14" i="19" l="1"/>
  <c r="M10" i="19"/>
  <c r="M6" i="19"/>
  <c r="J14" i="19"/>
  <c r="V22" i="19"/>
  <c r="M22" i="19"/>
  <c r="P10" i="19"/>
  <c r="J22" i="19"/>
  <c r="J6" i="19"/>
  <c r="P14" i="19"/>
  <c r="V14" i="19"/>
  <c r="M14" i="19"/>
  <c r="P18" i="19"/>
  <c r="S22" i="19"/>
  <c r="S6" i="19"/>
  <c r="V18" i="19"/>
  <c r="V10" i="19"/>
  <c r="M18" i="19"/>
  <c r="P22" i="19"/>
  <c r="P6" i="19"/>
  <c r="J18" i="19"/>
  <c r="V6" i="19"/>
  <c r="J10" i="19"/>
  <c r="S18" i="19"/>
  <c r="S10" i="19"/>
  <c r="K18" i="19"/>
  <c r="K10" i="19"/>
  <c r="N6" i="19"/>
  <c r="N14" i="19"/>
  <c r="N22" i="19"/>
  <c r="H6" i="19"/>
  <c r="T10" i="19"/>
  <c r="H14" i="19"/>
  <c r="T18" i="19"/>
  <c r="H22" i="19"/>
  <c r="Q6" i="19"/>
  <c r="Q14" i="19"/>
  <c r="Q22" i="19"/>
  <c r="N10" i="19"/>
  <c r="N18" i="19"/>
  <c r="K6" i="19"/>
  <c r="K14" i="19"/>
  <c r="K22" i="19"/>
  <c r="T6" i="19"/>
  <c r="H10" i="19"/>
  <c r="T14" i="19"/>
  <c r="H18" i="19"/>
  <c r="T22" i="19"/>
  <c r="Q10" i="19"/>
  <c r="Q18" i="19"/>
  <c r="F221" i="13"/>
  <c r="F211" i="13"/>
  <c r="F212" i="13"/>
  <c r="F213" i="13"/>
  <c r="F214" i="13"/>
  <c r="F215" i="13"/>
  <c r="F216" i="13"/>
  <c r="F217" i="13"/>
  <c r="F218" i="13"/>
  <c r="F219" i="13"/>
  <c r="F220" i="13"/>
  <c r="F210" i="13"/>
  <c r="B221" i="13" a="1"/>
  <c r="V25" i="19" l="1"/>
  <c r="P25" i="19"/>
  <c r="J25" i="19"/>
  <c r="S25" i="19"/>
  <c r="M25" i="19"/>
  <c r="L25" i="19"/>
  <c r="U25" i="19"/>
  <c r="O25" i="19"/>
  <c r="I25" i="19"/>
  <c r="R25" i="19"/>
  <c r="K25" i="19"/>
  <c r="T25" i="19"/>
  <c r="N25" i="19"/>
  <c r="H25" i="19"/>
  <c r="Q25" i="19"/>
  <c r="B221" i="13"/>
  <c r="H210" i="13" s="1"/>
  <c r="B223" i="13"/>
  <c r="B222" i="13"/>
</calcChain>
</file>

<file path=xl/comments1.xml><?xml version="1.0" encoding="utf-8"?>
<comments xmlns="http://schemas.openxmlformats.org/spreadsheetml/2006/main">
  <authors>
    <author>user</author>
    <author>Lina Maria Patarroyo Parra</author>
  </authors>
  <commentList>
    <comment ref="G7" authorId="0" shapeId="0">
      <text>
        <r>
          <rPr>
            <b/>
            <sz val="9"/>
            <color indexed="81"/>
            <rFont val="Tahoma"/>
            <family val="2"/>
          </rPr>
          <t>¿Cómo puede ocurrir?
¿Por qué puede ocurrir?</t>
        </r>
      </text>
    </comment>
    <comment ref="H7" authorId="1" shapeId="0">
      <text>
        <r>
          <rPr>
            <sz val="9"/>
            <color indexed="81"/>
            <rFont val="Tahoma"/>
            <family val="2"/>
          </rPr>
          <t xml:space="preserve">
¿Qué podría pasar en caso en que el riesgo se presentara?
¿Qué impacto generaría su materialización?</t>
        </r>
      </text>
    </comment>
    <comment ref="I7" authorId="1" shapeId="0">
      <text>
        <r>
          <rPr>
            <sz val="9"/>
            <color indexed="81"/>
            <rFont val="Tahoma"/>
            <family val="2"/>
          </rPr>
          <t xml:space="preserve">
1.Riesgo de salud
2.Riesgo operacional
3.Riesgo actuarial
4.Riesgo de crédito
5.Riesgo de liquidez
6.Riesgo de lavado de activos y financiación de terrorismo
7.Riesgo de corrupcion opacidad y fraude</t>
        </r>
      </text>
    </comment>
    <comment ref="J7" authorId="1" shapeId="0">
      <text>
        <r>
          <rPr>
            <sz val="9"/>
            <color indexed="81"/>
            <rFont val="Tahoma"/>
            <family val="2"/>
          </rPr>
          <t xml:space="preserve">
Ejecución y administración de procesos
Fraude externo
Fraude interno
Fallas tecnológicas
Relaciones laborales
Usuarios
Daños a activos fijos/ eventos externos
Legal
Economico
Operativo
Reputacional
Reputacional y Economico
Seguridad del paciente
</t>
        </r>
      </text>
    </comment>
    <comment ref="K7" authorId="1" shapeId="0">
      <text>
        <r>
          <rPr>
            <sz val="9"/>
            <color indexed="81"/>
            <rFont val="Tahoma"/>
            <family val="2"/>
          </rPr>
          <t xml:space="preserve">
Procesos
Talento humano
Tecnología
Infraestructura
Evento externo
Clientes/Usuarios
Productos/Servicios
Canales de distribución
Jurisdicciones
Contrapartes
Institucional </t>
        </r>
      </text>
    </comment>
  </commentList>
</comments>
</file>

<file path=xl/sharedStrings.xml><?xml version="1.0" encoding="utf-8"?>
<sst xmlns="http://schemas.openxmlformats.org/spreadsheetml/2006/main" count="2802" uniqueCount="959">
  <si>
    <t>Descripción del Riesgo</t>
  </si>
  <si>
    <t>Impacto</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</si>
  <si>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</si>
  <si>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</si>
  <si>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</si>
  <si>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</si>
  <si>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</si>
  <si>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</si>
  <si>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</si>
  <si>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</si>
  <si>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</si>
  <si>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</si>
  <si>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</si>
  <si>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</si>
  <si>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</si>
  <si>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</si>
  <si>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</si>
  <si>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</si>
  <si>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</si>
  <si>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</si>
  <si>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</si>
  <si>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</si>
  <si>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</si>
  <si>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Sin registro</t>
  </si>
  <si>
    <t>Calificación</t>
  </si>
  <si>
    <t>Tratamiento</t>
  </si>
  <si>
    <t>Aceptar</t>
  </si>
  <si>
    <t>Evitar</t>
  </si>
  <si>
    <t>Probabilidad Inherente</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</si>
  <si>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</si>
  <si>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</si>
  <si>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</si>
  <si>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</si>
  <si>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</si>
  <si>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</si>
  <si>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</si>
  <si>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</si>
  <si>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</si>
  <si>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</si>
  <si>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</si>
  <si>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</si>
  <si>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</si>
  <si>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</si>
  <si>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</si>
  <si>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</si>
  <si>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</si>
  <si>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</si>
  <si>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</si>
  <si>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</si>
  <si>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</si>
  <si>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</si>
  <si>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</si>
  <si>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</si>
  <si>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</si>
  <si>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</si>
  <si>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</si>
  <si>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</si>
  <si>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</si>
  <si>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</si>
  <si>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</si>
  <si>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</si>
  <si>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</si>
  <si>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</si>
  <si>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</si>
  <si>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</si>
  <si>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</si>
  <si>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</si>
  <si>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</si>
  <si>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</si>
  <si>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</si>
  <si>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</si>
  <si>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</si>
  <si>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</si>
  <si>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</si>
  <si>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</si>
  <si>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</si>
  <si>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</si>
  <si>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</si>
  <si>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</si>
  <si>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</si>
  <si>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</si>
  <si>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</si>
  <si>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</si>
  <si>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</si>
  <si>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</si>
  <si>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</si>
  <si>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</si>
  <si>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</si>
  <si>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</si>
  <si>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</si>
  <si>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</si>
  <si>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</si>
  <si>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</si>
  <si>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</si>
  <si>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</si>
  <si>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</si>
  <si>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</si>
  <si>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</si>
  <si>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</si>
  <si>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</si>
  <si>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</si>
  <si>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</si>
  <si>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</si>
  <si>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</si>
  <si>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</si>
  <si>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</si>
  <si>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</si>
  <si>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</si>
  <si>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</si>
  <si>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</si>
  <si>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</si>
  <si>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</si>
  <si>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</si>
  <si>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</si>
  <si>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</si>
  <si>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</si>
  <si>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Reputacional</t>
  </si>
  <si>
    <t>Económico</t>
  </si>
  <si>
    <t>Económico y Reputacional</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</si>
  <si>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</si>
  <si>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</si>
  <si>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</si>
  <si>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</si>
  <si>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</si>
  <si>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</si>
  <si>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</si>
  <si>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</si>
  <si>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</si>
  <si>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</si>
  <si>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</si>
  <si>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</si>
  <si>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</si>
  <si>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</si>
  <si>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</si>
  <si>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</si>
  <si>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</si>
  <si>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</si>
  <si>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</si>
  <si>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</si>
  <si>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</si>
  <si>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</si>
  <si>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</si>
  <si>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</si>
  <si>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</si>
  <si>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</si>
  <si>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</si>
  <si>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</si>
  <si>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</si>
  <si>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</si>
  <si>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</si>
  <si>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</si>
  <si>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</si>
  <si>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</si>
  <si>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</si>
  <si>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</si>
  <si>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</si>
  <si>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</si>
  <si>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</si>
  <si>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</si>
  <si>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</si>
  <si>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</si>
  <si>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</si>
  <si>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</si>
  <si>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</si>
  <si>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</si>
  <si>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</si>
  <si>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</si>
  <si>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</si>
  <si>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</si>
  <si>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</si>
  <si>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</si>
  <si>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</si>
  <si>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</si>
  <si>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</si>
  <si>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</si>
  <si>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</si>
  <si>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</si>
  <si>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</si>
  <si>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</si>
  <si>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</si>
  <si>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</si>
  <si>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</si>
  <si>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</si>
  <si>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</si>
  <si>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Subproceso</t>
  </si>
  <si>
    <t>Tipo de Riesgo</t>
  </si>
  <si>
    <t>No. Riesgo</t>
  </si>
  <si>
    <t xml:space="preserve">Permite definir un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</si>
  <si>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Subproceso al que pertenece</t>
  </si>
  <si>
    <t>Se encuentra parametrizada teniendo en cuenta la frecuencia con la cual se lleva acabo la actividad</t>
  </si>
  <si>
    <t>Corresponde al tipo de riesgos relacionados en el manual de getion de riesgos institucional (Gestión, seguridad de la información, sistema de gestión ambiental, sistema de Seguridad y salud en el trabajo, asistenciasles, clínicos, lavado de activos, financiación, Corrupción, Opacidad y fraude)</t>
  </si>
  <si>
    <t>Causas</t>
  </si>
  <si>
    <t>Consecuencias</t>
  </si>
  <si>
    <t>Clasificación del riesgo</t>
  </si>
  <si>
    <t>Factor del riesgo</t>
  </si>
  <si>
    <t>Inadecuada gestión en el cumplimiento de metas.</t>
  </si>
  <si>
    <t>SERVICIO FARMACEUTICO</t>
  </si>
  <si>
    <t>Operacional</t>
  </si>
  <si>
    <t>Sanciones Administrativas y disciplinarias</t>
  </si>
  <si>
    <t>Procesos</t>
  </si>
  <si>
    <t>Falta de seguimiento de politicas de gestion y desempeño institucional</t>
  </si>
  <si>
    <t>Crédito</t>
  </si>
  <si>
    <t xml:space="preserve">DIRECCIONAMIENTO ESTRATEGICO </t>
  </si>
  <si>
    <t>No aplica</t>
  </si>
  <si>
    <t>con Registro</t>
  </si>
  <si>
    <t>Sub Sistema de Riesgo</t>
  </si>
  <si>
    <t>Sin Documentado</t>
  </si>
  <si>
    <t>Con  Registro</t>
  </si>
  <si>
    <t xml:space="preserve"> Documentado</t>
  </si>
  <si>
    <t>Continuo</t>
  </si>
  <si>
    <t xml:space="preserve">Institucional </t>
  </si>
  <si>
    <t>N° Procesos</t>
  </si>
  <si>
    <t>MEJORAMIENTO CONTINUO</t>
  </si>
  <si>
    <t>1.Riesgo de salud</t>
  </si>
  <si>
    <t>2.Riesgo operacional</t>
  </si>
  <si>
    <t>3.Riesgo actuarial</t>
  </si>
  <si>
    <t>4.Riesgo de crédito</t>
  </si>
  <si>
    <t>5.Riesgo de liquidez</t>
  </si>
  <si>
    <t>Ejecución y administración de procesos</t>
  </si>
  <si>
    <t>Fraude externo</t>
  </si>
  <si>
    <t>Fraude interno</t>
  </si>
  <si>
    <t>Fallas tecnológicas</t>
  </si>
  <si>
    <t>Relaciones laborales</t>
  </si>
  <si>
    <t>Usuarios</t>
  </si>
  <si>
    <t>Daños a activos fijos/ eventos externos</t>
  </si>
  <si>
    <t>Legal</t>
  </si>
  <si>
    <t>Operativo</t>
  </si>
  <si>
    <t>Seguridad del paciente</t>
  </si>
  <si>
    <t>Ataques externos</t>
  </si>
  <si>
    <t>Errores humanos</t>
  </si>
  <si>
    <t>Eventos naturales</t>
  </si>
  <si>
    <t>Economico</t>
  </si>
  <si>
    <t>Reputacional y Economico</t>
  </si>
  <si>
    <t>Frecuencia con la cual se realiza la actividad en el año</t>
  </si>
  <si>
    <t>Talento humano</t>
  </si>
  <si>
    <t>Tecnología</t>
  </si>
  <si>
    <t>Infraestructura</t>
  </si>
  <si>
    <t>Evento externo</t>
  </si>
  <si>
    <t>Clientes/Usuarios</t>
  </si>
  <si>
    <t>Productos/Servicios</t>
  </si>
  <si>
    <t>Canales de distribución</t>
  </si>
  <si>
    <t>Jurisdicciones</t>
  </si>
  <si>
    <t>Contrapartes</t>
  </si>
  <si>
    <t>Ejecutar acciones sin impacto en el mejoramiento continuo en los procesos de la institución</t>
  </si>
  <si>
    <t>TRATAMIENTO</t>
  </si>
  <si>
    <t>GESTION DEL CUIDADO CRITICO</t>
  </si>
  <si>
    <t xml:space="preserve">
1.Falta de un proceso de induccion con evaluacion para corroborar las competencias funcionales de los colaboradores del servicio
2. No identificacion de los principales riesgos de los pacientes del servicio:caidas, ulceras por presion, extubacion no programada, eventos embólicos
3.Falta de supervisión en los procedimientos de atencion de los pacientes</t>
  </si>
  <si>
    <t>SERVICIO DE INFORMACION Y ATENCION AL USUARIO</t>
  </si>
  <si>
    <t xml:space="preserve">
No se realizan acciones correctivas por parte de los lideres a quejas y reclamos recurrentes
Retraso en la  proyecciòn de respuesta por parte de los lideres de las áreas de la institución.</t>
  </si>
  <si>
    <t>Falta un mecanismo de comunicación directa entre los servicios y SIAU para mantener actualizado al personal sobre las novedades de atención</t>
  </si>
  <si>
    <t>Sanciones por parte de las entidades de vigilancia y control</t>
  </si>
  <si>
    <t>Insatisfacción del usuario frente al proceso de información brindada por la entidad</t>
  </si>
  <si>
    <t xml:space="preserve"> El profesional SIAU realiza seguimiento para que las respuesta proporcionadas por las áreas o servicios implicados en las quejas y reclamos de los usuarios, se ajusten a los terminos establecidos por la ley y los contemplados en el procedimiento institucional de trámite de manifestaciones SIAU-P-02, dicho seguimiento lo realiza de forma presencial o por correo electrónico a los lìderes de los procesos para recordar los tiempos de respuesta; cuando se excede el plazo, la profesional SIAU reporta a CI, al lider del proceso para gestionar con celeridad la respuesta. La constancia de dicho control son los correos electrónicos enviados a los servicios implicados, el registro de los tiempos de respuesta cargados en el modulo de satisfaccion de daruma, el monitoreo realizado a través del indicador de oportunidad de PQR y los informes de SIAU retroalimentados a los lideres</t>
  </si>
  <si>
    <t xml:space="preserve"> Profesional de atención al usuario recibe diariamente retroalimentación de novedades por grupo de whatsapp de parte de las diferentes áreas y/o servicios de la institución y esta a su vez retroalimenta en reuniones de autocontrol con su equipo para actualizarlos e identificar las fallas existentes. Cuando se identifican fallas se realizan las acciones correctivas en el proceso..</t>
  </si>
  <si>
    <t>GESTION HOSPITALARIA</t>
  </si>
  <si>
    <t>Estancias prolongadas de los pacientes en los servicios de hospitalizacion</t>
  </si>
  <si>
    <t>LABORATORIO CLINICO</t>
  </si>
  <si>
    <t xml:space="preserve">Falta de aplicación del Manual de calidad Interno del laboratorio
</t>
  </si>
  <si>
    <t>Generar diagnósticos inoportunos y punciones evitables al paciente</t>
  </si>
  <si>
    <t>Producir resultados de laboratorio no confiables</t>
  </si>
  <si>
    <t>Fallas en la continuidad de la atencion</t>
  </si>
  <si>
    <t>BANCO DE SANGRE</t>
  </si>
  <si>
    <t>SERVICIO TRANSFUSIONAL</t>
  </si>
  <si>
    <t>Errores u omisiones en el registro de entradas y salida de elementos e insumos del stock del banco de sangre</t>
  </si>
  <si>
    <t>Entorpecimiento del flujo normal de las operación del banco de sangre</t>
  </si>
  <si>
    <t>No se cumple con los criterios establecidos en el protocolo ST-PT-03 –Protocolo para la solicitud de la transfusión, entrega y aplicación de hemocomponentes y el estricto cumplimiento y diligenciamiento del formato ST-F-49 -Lista de chequeo de transfusión de hemocomponentes para médicos y personal de enfermería-</t>
  </si>
  <si>
    <t>Reacciones Adversas a la Transfusión (RAT) y complicaciones en la salud del receptor.</t>
  </si>
  <si>
    <t>GESTION DE URGENCIAS Y OBSTETRICIA</t>
  </si>
  <si>
    <t>Complicaciones del estado clínico a la entrada de la atención de los pacientes</t>
  </si>
  <si>
    <t>El coordinador de urgencias con cada vinculación de personal médico nuevo realizar socialización del procedimiento institucional basado en la resolucion 5596 de 2015 dejando constancia en las listas de asistencia</t>
  </si>
  <si>
    <t>SUBGERENCIA CIENTIFICA</t>
  </si>
  <si>
    <t>Inoportunidad en  la evolucion diaria  por parte de los especialistas</t>
  </si>
  <si>
    <t>Estancias prolongadas
Relacion costo/beneficio no es la esperada</t>
  </si>
  <si>
    <t>GESTION QUIRURGICA</t>
  </si>
  <si>
    <t xml:space="preserve">
Falta de adherencia a los protocolos de limpieza y desinfeccion, lavado de manos y asepsia y antisepsia en sitio operatorio.</t>
  </si>
  <si>
    <t>Incumplir los objetivos de seguridad en la atención</t>
  </si>
  <si>
    <t>GESTION ASISTENCIA AMBULATORIA</t>
  </si>
  <si>
    <t xml:space="preserve">
Inoportunidad en la respuesta por parte del call center</t>
  </si>
  <si>
    <t xml:space="preserve">
Falta de talento humano de algunas especialidades
Inapropiada planeación de horas de consulta especializada ambulatoria.
</t>
  </si>
  <si>
    <t>IMAGENOLOGIA</t>
  </si>
  <si>
    <t>Falta de semaforizacion de medicamentos</t>
  </si>
  <si>
    <t>Provocar eventos adversos</t>
  </si>
  <si>
    <t>CENTRAL DE ESTERILIZACION</t>
  </si>
  <si>
    <t>Falta de mantenimiento del autoclave o fallas en el mismo.</t>
  </si>
  <si>
    <t>Interrumpir el proceso quirúrgico y hospitalario</t>
  </si>
  <si>
    <t>No aplicar las medidas de bioseguridad por parte del personal.
 Falta de seguimiento a la aplicación de controles de las medidas de bioseguridad por parte de los jefes</t>
  </si>
  <si>
    <t>Aumentar el Ausentismo laboral por causa medica</t>
  </si>
  <si>
    <t xml:space="preserve">Falta de adherencia del personal a
las normas de bioseguridad y/o desconocimiento de los  protocolos Institucionales.
</t>
  </si>
  <si>
    <t>Accidentes laborales o contaminación del medio ambiente.</t>
  </si>
  <si>
    <t>SST</t>
  </si>
  <si>
    <t xml:space="preserve">TALENTO HUMANO </t>
  </si>
  <si>
    <t>No tener un mecanismo para identificar y responder a las necesidades del talento humano.
No realizar un seguimiento a la formulacion de accionesos con base a los diagnositcos empresariales arrojados por la encuesta de necesidades y la de clima laboral.</t>
  </si>
  <si>
    <t xml:space="preserve">Generar baja productividad en elTalento humano </t>
  </si>
  <si>
    <t>El proceso de inducción y reinducción no se realiza de manera efectiva</t>
  </si>
  <si>
    <t xml:space="preserve">Entorpecimiento de los procesos e inoportunidad en la prestación de los servicios </t>
  </si>
  <si>
    <t>No gestionar la ejecución del plan de educación,capacitacion y entrenamiento permanente que se construye a partir de las necesidades de las áreas/servicios</t>
  </si>
  <si>
    <t xml:space="preserve">Tener  un Talento Humano sin las competencias requeridas </t>
  </si>
  <si>
    <t>TH</t>
  </si>
  <si>
    <t>EQUIPOS BIOMEDICOS</t>
  </si>
  <si>
    <t xml:space="preserve">RECURSOS FISICOS </t>
  </si>
  <si>
    <t>Desenlazar eventos adversos</t>
  </si>
  <si>
    <t>ALMACEN</t>
  </si>
  <si>
    <t xml:space="preserve">Deficiencia en la prestacion del servicio en las difenrentes  areas de la institucion
</t>
  </si>
  <si>
    <t>Proveer inoportunamente los requerimientos de los servicios</t>
  </si>
  <si>
    <t xml:space="preserve">Perdida de inventarios por daño </t>
  </si>
  <si>
    <t>Falta de control en el cumplimiento efectivo de las clausulas tecnicas contractuales frente a medicamentos e insumos proximos a vencer</t>
  </si>
  <si>
    <t>Detrimento patrimonial</t>
  </si>
  <si>
    <t>AMBIENTAL</t>
  </si>
  <si>
    <t>SIAU</t>
  </si>
  <si>
    <t>MANTENIMIENTO</t>
  </si>
  <si>
    <t>GESTION FINANCIERA</t>
  </si>
  <si>
    <t>TESORERIA</t>
  </si>
  <si>
    <t xml:space="preserve">No se ha definido el lugar para la custodia de los dineros recaudados, tampoco hay control efectivo sobre la entrega de los mismos, a la oficina de tesorería </t>
  </si>
  <si>
    <t>Causar detrimento de la imagen corporativa</t>
  </si>
  <si>
    <t>CARTERA</t>
  </si>
  <si>
    <t>FACTURACION</t>
  </si>
  <si>
    <t>AUDITORIA DE CUENTAS MEDICAS</t>
  </si>
  <si>
    <t xml:space="preserve">
No se tiene un aplicativo definido para realizar las conciliaciones.</t>
  </si>
  <si>
    <t>Entorpecer el recaudo de los dineros conciliados y reconocidos por las EPS</t>
  </si>
  <si>
    <t>COSTOS</t>
  </si>
  <si>
    <t>Mal parametrización en el sofware institucional de los centros de costo
Cargue en la información en los centros de costos que no corresponde</t>
  </si>
  <si>
    <t>Tomar decisiones no acertadas</t>
  </si>
  <si>
    <t>TECNOLOGIA E INFORMACION</t>
  </si>
  <si>
    <t>SISTEMAS</t>
  </si>
  <si>
    <t xml:space="preserve">
Uso inadecuado de usuarios(prestamo de claves).
Falta de control de usuarios por parte del área de sistemas
</t>
  </si>
  <si>
    <t>Sistema de informacion no confiable</t>
  </si>
  <si>
    <t>GESTION DOCUMENTAL</t>
  </si>
  <si>
    <t>Falta de recursos para adecuación de espacios
Falta de adherencia al programa de gestion documental de la institución</t>
  </si>
  <si>
    <t>Ocasionar sanciones económicas y disciplinarias</t>
  </si>
  <si>
    <t>Ocasionar medidas sancionatorias en contra del hospital</t>
  </si>
  <si>
    <t>GESTION JURIDICA</t>
  </si>
  <si>
    <t>CONTRATACION</t>
  </si>
  <si>
    <t>JURIDICA</t>
  </si>
  <si>
    <t>Alto volumen de expedientes.
Falta de oportunidad en la obtencion de respuestas por parte de las fuentes de informacion requeridas</t>
  </si>
  <si>
    <t>Provocar  la nulidad de procesos</t>
  </si>
  <si>
    <t>CONTROL INTERNO DISCIPLINARIO</t>
  </si>
  <si>
    <t>Intereses particulares (Dolo)
Incumplimiento de normatividad vigente
Violacion a los principios rectores del derecho disciplinario</t>
  </si>
  <si>
    <t xml:space="preserve">Inadecuada instrucción de los procesos disciplinarios </t>
  </si>
  <si>
    <t xml:space="preserve">GESTION CONTROL INTERNO </t>
  </si>
  <si>
    <t xml:space="preserve"> La profesional universitario de ingenieria biomédica líder del proceso realiza seguimiento mensualmente al cronograma de mantenimiento preventivo establecido por la institución, para ejecutar el mantenimiento preventivo en los diferentes servicios,  detectando causas de incumplimiento y realizando reprogramación de atividades cuando este no se cumple. La evidencia del control realiado es analisis y alimentación del indicador de cumplimiento del mantenimiento preventivo de los equipos biomédicos</t>
  </si>
  <si>
    <t xml:space="preserve"> Las evaluaciones realizadas al personal nuevo para verificar si fue comprendida o asimilada la informacion suministrada.</t>
  </si>
  <si>
    <t xml:space="preserve"> Listas de chequeo  verificadas sobre cada paciente </t>
  </si>
  <si>
    <t xml:space="preserve"> La coordinadora del servicio de UCIA verifica  mensualmente  que la gestora de seguridad del servicio haya realizado el chequeo pertienente.  Del anterior control quedan  las lisitas de verificacion realizadas a los pacientes.</t>
  </si>
  <si>
    <t>Registro de justificación de la clasificación realizada en anexo de HC de triage.</t>
  </si>
  <si>
    <t>Listas de asistencia de socialización del procedimiento institucional basado en la resolucion 5596 de 2015</t>
  </si>
  <si>
    <t>procesos</t>
  </si>
  <si>
    <t xml:space="preserve">Notificacion por los auditores de manera diaria a subgerencia cientifica mediante correo electronico. </t>
  </si>
  <si>
    <t>Empeoramiento del estado de salud del usuario.     Insatisfacción del usuario en el servicio de consulta ambulatoria especializada.</t>
  </si>
  <si>
    <t>Empeoramiento del estado de salud del usuario.    Generar Insatisfaccion en los usuarios</t>
  </si>
  <si>
    <t xml:space="preserve">Inadecuada planeacion en solicitud de insumos y reactivos, teniendo en cuenta el consumo del mes anterior. 
Dificultades en el flujo de recursos  financieros a los proveedores
La demanda supere a la oferta.
</t>
  </si>
  <si>
    <t>El Profesional especiaizada de servicios ambulatorios  verifica  cada tres meses la aplicación del protocolo de identificación del paciente y chequeo cruzado, para corroborar el debido procedimiento por parte de los técnicos,  dejando evidencia de lo encontrado en las listas de chequeo aplicadas.</t>
  </si>
  <si>
    <t>El especilaista radiologo cada que se va a realizar una lectura de imágenes verifican mediante el analisis de la imagen, la correcta toma del estudio por parte de los técnicos, dejando evidencia del hallazgo en el grupo de whatsap de imagenología, para luego ser corregido por los técnicos</t>
  </si>
  <si>
    <t>El auxiliar de farmacia a cargo del proceso de dispensacion verifica la correcta dispensacion de las formulas médicas para cada paciente, dejando evidencia de lo entregado, en formato SF-F-20 , en columna n. 10, con firma de funcionario que dispensa.</t>
  </si>
  <si>
    <t>La auxiliar de enfermería encargada de recibir los medicamentos de cada servicio, verifica lo formulado contra lo dispensado en fisico, dejando constancia del chequeo realizado,  en el formato de entrega de medicamentos e insumos cod SF-F-20, columna n.11. con firma de funcionario que recibe lo dispensado.</t>
  </si>
  <si>
    <t xml:space="preserve"> formato de entrega de medicamentos e insumos SF-F-20, columna n.11. con firma de funcionario que recibe lo dispensado.</t>
  </si>
  <si>
    <t xml:space="preserve"> Formato de entrega de medicamentos e insumos SF-F-20 , en columna n. 10, con firma de funcionario que dispensa.</t>
  </si>
  <si>
    <t>anotación en el sistema sobre las novedades encontradas.</t>
  </si>
  <si>
    <t>1. El auditor lider revisa el informe preliminar de auditoría con el lider de proceso auditado de acuerdo al plan de la auditoría, para realizar los ajustes al informe a que haya lugar  dejando evidencia de la revisión realizada mediane acta de soacialización y revisón de informe.</t>
  </si>
  <si>
    <t>2. El asesor de control interno realiza ajustes al proceso de auditoría de acuerdo a los resultados de la evaluación realizada por los lideres de los procesos auditados, dejando como evidencia la evaluación realizada en el formato GCI-F-07 frente a futuras auditorías</t>
  </si>
  <si>
    <t xml:space="preserve">Informe mensual  de  verificacion de la correcta semaforizacion </t>
  </si>
  <si>
    <t>El supervisor de operaciones del call center monitorea diariamente los tiempos de respuesta para el cumplimiento de la meta de oportunidad establecida para la asignacion de cita (menos de 12h) por cada operario, a través del sistema de asignacion de citas de indigo donde va quedando el registro de la atencion. Cuando encuentra que algun operario presenta desviacion en la oportunidad, realiza los llamados de atencion pertinentes. El registro del control son los seguimientos a través de la plataforma.</t>
  </si>
  <si>
    <t xml:space="preserve">El Profesional especializado de servicios ambulatorios mensualmente verifica que los datos históricos de la estadística de consulta externa especializada informados a Subgerencia  Científica por medio de correo institucional, corresponda a las horas contratadas para prestar el servicio. Si se presenta desviación la lider de gestion ambulatoria comunica a la subgerencia científica y este gestiona un mayor número de horas con las especialidades necesitadas. El control anterior puede evidenciarse con un revisado en los cuadro de turnos de los especialistas, los correos  y las agendas disponibles. </t>
  </si>
  <si>
    <t>El bacteriologo de cada seccion (responable de reactivos y dispositivos médicos) o auxiliar de enfermería (responsable de los insumos) realiza el ingreso y/o egreso de los elementos en orden cronológico, registrando en el Kardex los datos relacionados con el moviento a realizar (fechas, cantidades, lotes, saldos, etc) con el fin de llevar un control del inventario existente, además durante los primeros 5 días del mes se verifica por parte del encargado de cada sección (bacteriólogo, auxiliar de enfermería) la semaforización, con el objetivo de controlar los elementos próximos a vencer y generar, si es necesario, la solicitud de insumos a la casa comercial correspondiente. Cuando se presenta alguna novedad, se reporta al coordinador, para que se realice trazabilidad de la inconsistencia.El soporte de lo anterior será el kardex y el semáforo acorde al vencimiento.</t>
  </si>
  <si>
    <t>La lider de central de esterilización corrobora diriamente la aplicación de los procedimientos establecidos a través del diligenciamiento del formato de verificacion del dispositivo o paquete esteril CE-F-15 y para los servicios se programa  de 3 a 4 visita mensual de verificación de adherencias al proceso de esterilización a través del formato CE-F-14 Lista de chequeo y verificación de almacenamiento e integridad del dispositivo estéril. Según lo detectado, se realiza socializaciones de manera inmediata con los equipos de trabajo y se programan capacitaciones según necesidades de los servicios.</t>
  </si>
  <si>
    <t>La lider de central de esterilización revisa quicenalmente el inventario de insumos del área para identificar necesidades de materiales e insumos y preveer con respectiva anticipación su solicitud ante el área de almacen antes de su agotamiento, dejando como evidencia las solicitudes de pedido en dinamica gerencial modulo operativo (pedidos). Cuando el suministro no es realizado a tiempo, se busca el apoyo con otras servicios o instituciones, para solucionar inmediatamente mientras es soluciondo por parte de la entidad.</t>
  </si>
  <si>
    <t xml:space="preserve">El profesional de SST verificará que los jefes de servicio previo al inicio de labores(diariamente) corroboren en el personal a cargo, la aplicación del cumplimiento de los reglamentos y medidas contempladas en el Manual de bioseguridad MC-M-05 y elprocedimiento para la matriz de EPP TH-P-15. Para ello deja constancia del chequeo realizado a su personal, en el libro de anotaciones de enfermería del servicio y/o los formatos establecidos para tal fin TH-F-12.
</t>
  </si>
  <si>
    <t>El  Director de  Talento humano verifica al comienzo de cada año que todos los servicios y áreas de la institución hayan reportado la información referente a sus necesidades y expectativas, en el formato TH-F-94 creado para recolectar la informacion de las áreas y poder gestionar lo requerido por las mismas. El soporte de la anterior actuacion es el consolidado de la encuesta que muestran las areas de donde reportan las necesidades.</t>
  </si>
  <si>
    <t>El director de Talento Humano verifica que los resultados arrojados por los diagnosticos institucionales(encuesta de necesidades y clima laboral) hayan sido incluidos en los planes de accion de la direccion(eje:matriz de capacitaciones, programa de bienestar social)para asegurar que posteriormente se ejecuten. Cuando esta informacion no concuerde, la directora de TH realizará requerimiento a la profesional psicologa de la dirección para ser incluidos. Los registro dejados del anterior control serán los planes de accion aprobados por la directora.</t>
  </si>
  <si>
    <t>El  Auxiliar Administrativo de Talento Humano verifica la realización del proceso de induccion general  e induccion en puesto de trabajo, así:
el primero,con la recepcion de las calificaciones obtenidas en el proceso de induccion general por parte de los trabajadores entrantes, las cuales deben ser presentadas junto con los demás documentos requsitos para perfeccionar el contrato. La segunda, con la recepción de la constancia de induccion en puesto de trabajo, emitida por el supervisor o jefe inmediato del trabajdor, al momento de la presentación de la primera cuenta de cobro.</t>
  </si>
  <si>
    <t>El director administrativo de talento humano solicita con la vinculacion de cada colaborador,  la evaluación con resultados del proceso de inducción  en puesto de trabajo realizado a cada trabajador con el fin de corroborar la ejecución y efectividad del proceso por parte de cada lider de área/servicio. Cuando la evaluacion es reaprobada por el trabajador, se solicita nuevamente la induccion en puesto de trabajo al jefe inmadiato hasta obtener una la calificación deseada. El registro dejado por este control son las Evaluaciones aprobadas aportadas por los jefes de cada area/servicio previas a la presentacion de la primera cuenta.</t>
  </si>
  <si>
    <t>TH-F-94 creado para recolectar la informacion de las áreas y consolidado de la encuesta que muestran las areas de donde reportan las necesidades.</t>
  </si>
  <si>
    <t>El director de Talento Humano corrobora trimestralmente el cumplimiento de la matriz de capacitaciones mediante evaluación de indicadores de cumplimiento y cobertura para comprobar que el proceso se va desempeñando de forma eficiente.Cuando encuentra desviacion realiza requerimiento a la profesional a cargo para realizar las mejoras pertinentes. El registro dejado por el control son la matriz de capacitaciones con seguimiento e indicadores.</t>
  </si>
  <si>
    <t xml:space="preserve"> Los profesionales universitario de ingenieria biomédica programan de acuerdo a la puesta en marcha de nuevos equipos y a los eventos de seguridad reportados, las capacitaciones que involucren al personal del servicio vinculado con el equipo o la falla del equipo para mejorar competencias frente a su uso. La profesional biomédica lider verifica las capacitaciones realizadas con las actas de capacitacion y listados de asistencia levantados.</t>
  </si>
  <si>
    <t>Cuando se realice pedido por parte de las areas y no sean despachados en su totalidad desde el almacen apenas se adquiera el prodcuto debera enviar esos faltantes al servicio sin que se requiera una nueva solicitud. Evidencia de esto sera chequeo cruzado entre ordenes de pedido y ordenes de despacho, adicional a esto nueva orden de despacho con faltantes.</t>
  </si>
  <si>
    <t>Chequeo cruzado entre ordenes de pedido y ordenes de despacho, adicional a esto nueva orden de despacho con faltantes.</t>
  </si>
  <si>
    <t xml:space="preserve"> Hoja de asistencia, acta y registro fotográfico.</t>
  </si>
  <si>
    <t>La  verificación se soporta con las certificaciones expedidas por el area para la oficina de planeación.</t>
  </si>
  <si>
    <t>CONTABILIDAD</t>
  </si>
  <si>
    <t xml:space="preserve"> El lider de auditoría cada vez que se firma un acta de conciliación realiza el descargue contable y  corre traslado de una copia  de esta, a la oficina de cartera para su debida afectación dejando constancia en el correo institucional.</t>
  </si>
  <si>
    <t xml:space="preserve"> Descargue contable y copia  de acta de conciliación a la oficina de cartera para su debida afectación dejando constancia en el correo institucional.</t>
  </si>
  <si>
    <t xml:space="preserve"> Correos electrónicos  institucionales y actas de las socializaciones cuando  a  ello haya lugar.</t>
  </si>
  <si>
    <t xml:space="preserve"> Formato TI-F-01 y  acta de la socializacion de las politicas de seguridad de la informacion institucional.</t>
  </si>
  <si>
    <t>El lider de gestión documental a través de un apoyo, verificara trimestralmente  la adherencia de los procesos administrativos a los procedimientos de la gestión documental institucional, a través de la aplicación de la lista de chequeo establecida para tal fin. Incorpoando las desviaciones encontradas en los planes de accion del área bajo actividades de capacitaciones.</t>
  </si>
  <si>
    <t>La lider del proceso, verifica mensualmente al finalizar el periodo, la efectividad de la entrega de la correspondencia, mediante la revisión del formato TI-F-04 para detectar correspondencia sin entregar o con entregas tardías. Registrando lo encontrado en la parte final del formato TI-F-04.</t>
  </si>
  <si>
    <t xml:space="preserve"> El Comite de Conciliacion dos veces por mes  revisa la toma de decisiones para la debida defensa de la entidad en cada uno de los procesos, para apoyar la debida defensa, dado a que esas actas tiene reserva, la evidencia del anterior control  son los registros de asistencia del mencionado comité </t>
  </si>
  <si>
    <t xml:space="preserve"> Observaciones realizadas en el libro de devoluciones contractuales.</t>
  </si>
  <si>
    <t>El abogado de la oficina de control interno disciplinario cada que se requiera la informacion y en la medida que se va acercando el cumplimiento de los terminos, verifica el reporte de la informacion solicitada, volviendo a requerir a las areas/proceso la informacion necesitada.  El registro del anterior control será el libro de consecutivos de correspondencia-casilla observaciones.</t>
  </si>
  <si>
    <t>El abogado de la oficina de control interno disciplinario una vez recaudado el material probatorio profiere decision de evaluación en donde se verifica la procedencia del auto de cargos y el cumplimiento de los elementos normativos del proceso. Por efectos de reserva de las actuaciones no se remitirán los Autos de Evaluación, sin embargo se remitirá certificación de los procesos evaluados objetivamente de manera trimestral a fin de proferirse Autos de cargos.</t>
  </si>
  <si>
    <t xml:space="preserve"> El abogado de la oficina de control interno disciplinario de manera diaria evalúa los procesos disciplinarios activos, de conformidad a la matriz CID-F-16 para corroborar vencimiento de términos en cada expediente disciplinario y realizar las actuaciones previas a las fechas.(por efectos de confidencialidad, la oficina de CID se reserva el derecho a enviar informacion /matriz de procesos y a cambio emitirá informe trimestral del desempeño del proceso).Certificacion trimestral</t>
  </si>
  <si>
    <t>No se realiza seguimiento a los pedidos y sus respectivos pendientes dejados luego de realizar los despachos.</t>
  </si>
  <si>
    <t xml:space="preserve">Falta de adherencia del personal  asistencia a las guías de atencion materno-perinatal.                                                     </t>
  </si>
  <si>
    <t xml:space="preserve">obsolescencia de los equipos biomedicos.   
    Incumplimiento del cronograma de mantenimiento preventivo
Manejo inadecuado de los equipos por parte del personal asistencial
</t>
  </si>
  <si>
    <t>6.Riesgo de lavado de activos y financiación de terrorismo (SARLAFT)</t>
  </si>
  <si>
    <t>7.Riesgo de corrupcion opacidad y fraude (SICOF)</t>
  </si>
  <si>
    <t xml:space="preserve"> </t>
  </si>
  <si>
    <t>PTEE-SICOF</t>
  </si>
  <si>
    <t>Falta de verificacion y semaforizacion de los medicamentos</t>
  </si>
  <si>
    <t>Generar eventos adversos por suministro de medicamentos vencidos</t>
  </si>
  <si>
    <t>Fallos en contra la institucion por no contar con los insumosy reportes necesarios (registros, soportes, testimonios, etc.) para una adecuada representación extrajudicial, judicial o administrativa.</t>
  </si>
  <si>
    <t xml:space="preserve">Vencimiento de términos para emitir respueta
</t>
  </si>
  <si>
    <t>Incumplimiento de Términos Legales que podria repercutir en sanciones econimicas al represntante legal de la entidad</t>
  </si>
  <si>
    <t>Falta de adherencias al protocolo de idedentificacion  redundante  de paciente (no realizar chequeo cruzado)
No verificación de la orden con la identidad del paciente.
Falta de verificación con el paciente y grupo colaborador.</t>
  </si>
  <si>
    <t>Generar resultados equivocados.
Generar eventos adversos  a los usuarios</t>
  </si>
  <si>
    <t>Imcumplir con los onjetivos de seguridad del paciente en la entidad.   
Afectacion economica y Reputacional</t>
  </si>
  <si>
    <t xml:space="preserve">Desconocimiento del personal asistencial sobre la importancia de los registros clínicos, para una adecuada defensa de la ESE.
Alta rotación del personal que impide contar con los involucrados en el caso.
Que se de una Indebida actuación por parte de los abogados responsables de los procesos o una manipulación de información en búsqueda de beneficios particulares o de terceros.
.
</t>
  </si>
  <si>
    <t xml:space="preserve">Posibilidad de Incumplimiento de Términos Legales frente los Derechos de Peticion,  las Acciónes de Tutela etc, por respuesta extemporanea a despachos judiciales </t>
  </si>
  <si>
    <t xml:space="preserve">Que se instauren procesos judiciales.
Causar la perdida de los procesos.
Ocasionar sentencias condenatorias.
Detrimentos Patrimoniales y afectacion al patrimonio público </t>
  </si>
  <si>
    <t>Relacion de respuestas realizadas</t>
  </si>
  <si>
    <t>El jefe de la oficina jurídica mensualmente verifica que las actuaciones de los abogados correspondan a las establecidas en el Procedimiento para ejercer la Representación Judicial y Extrajudicial del HDMI E.S.E. (GJ-P-02). A la vez verifica las actuaciones que son comunicadas previamente en los informes de los abogados.  Estos procedimientos son corroborados por el seguimiento por parte de la oficina jurídica,  a través de los portales Siglo XXI de la Rama Judicial y Aplicativo Juridico Institucional para verificar la presentacion de actuaciones dentro de los términos legales y  la revisión y sustentación de los Informes Contractuales de los Abogados del Grupo de Defensa Judicial. Evidencia de las revisiones realizadas quedan en el acta levantada sobre la verificacion realizada .</t>
  </si>
  <si>
    <t>documentado</t>
  </si>
  <si>
    <t>Actas de socializacion y   listas de asistencia</t>
  </si>
  <si>
    <t>preventivo</t>
  </si>
  <si>
    <t>Programa de transparencia y etica empresarial(PTEE)</t>
  </si>
  <si>
    <t xml:space="preserve">Con Registro </t>
  </si>
  <si>
    <t>Reporte  inoportuno o extemporaneo de la información.
'Fallas en los sistemas de informacion frente al cumplimiento de los requisitos de las plataformas de reporte.</t>
  </si>
  <si>
    <t xml:space="preserve">Posibilidad de perdida de recursos economicos por vencimiento de medicamentos y dispositivos medicos </t>
  </si>
  <si>
    <t xml:space="preserve">
Perdida de recursos economicos
vencimiento de medicamentos y/o dispositivos medicos</t>
  </si>
  <si>
    <t xml:space="preserve">Falta de rondas de verificación de fechas de vencimiento
Rotación de medicamentos y / o dispositivos medicos
Falta de adherencia al procedimiento </t>
  </si>
  <si>
    <t>Ocasionar Eventos Adversos
Causar pérdida de la confianza del usuario y su familia frente a la institución.</t>
  </si>
  <si>
    <t xml:space="preserve">
No hacer seguimiento oportuno a la documentacion por parte del proceso de mejoramiento continuo.
Falta de socialización e implementación  del procedimiento MC-P-03.
</t>
  </si>
  <si>
    <t>No aplicación de las mecanismos de control establecidos para asegurar laimplementación de los estandares de habilitación en los procesos institucionales.
Falta de adherencia a la resolución 3100 de 2019</t>
  </si>
  <si>
    <t xml:space="preserve"> Sanciones o cierre de servicios</t>
  </si>
  <si>
    <r>
      <t xml:space="preserve">El profesional de Planeación realiza seguimiento a Planes operativos, trimestralmente mediante el  Formato 
</t>
    </r>
    <r>
      <rPr>
        <sz val="10"/>
        <rFont val="Arial"/>
        <family val="2"/>
      </rPr>
      <t>DE-F-01</t>
    </r>
    <r>
      <rPr>
        <sz val="10"/>
        <color rgb="FFFF0000"/>
        <rFont val="Arial"/>
        <family val="2"/>
      </rPr>
      <t xml:space="preserve">  </t>
    </r>
    <r>
      <rPr>
        <sz val="10"/>
        <color theme="1"/>
        <rFont val="Arial"/>
        <family val="2"/>
      </rPr>
      <t xml:space="preserve">Plan Operativo anual  y  si se requiere se generan actas de compromisos en formaro </t>
    </r>
    <r>
      <rPr>
        <sz val="10"/>
        <rFont val="Arial"/>
        <family val="2"/>
      </rPr>
      <t>MC-F-12</t>
    </r>
  </si>
  <si>
    <t>El profesional de Planeación realiza seguimiento a Planes de acción de las politicas de MIPG, trimestralmente mediante actas de reuniones ordinarias y extraordinarias</t>
  </si>
  <si>
    <t xml:space="preserve">perdida de recursos economicos </t>
  </si>
  <si>
    <t xml:space="preserve">
Falta  de la orden médica u ordenes medicas erroneas
Falta de adherencia al protocolo de toma de muestras.
Muestras que no cumplen los criterios de calidad</t>
  </si>
  <si>
    <t xml:space="preserve">
No disponer del plan de mantenimiento hospitalario
Incumplimiento de los cronogramas de mantenimiento.
No realizar la reposición de equipo
</t>
  </si>
  <si>
    <t xml:space="preserve">Mayor costo  en la UCI  por estancias prolongadas
 Pérdida de la credibilidad corporativa en los servicio de cuidado crítico del HDMI
Perdida economica y repuracional </t>
  </si>
  <si>
    <t>Posibilidad de que los pacientes no se evolucionen de manera oportuna</t>
  </si>
  <si>
    <t xml:space="preserve">La subgerente cientifica monitorea diariamente a través de los auditores concurrentes de cada servicio, que todo los usuarios de la institucion cuenten con notas de evolucion por las especialidades tratantes. Se realizara notificacion por los auditores de manera diaria a subgerencia cientifica mediante correo electronico. </t>
  </si>
  <si>
    <t>50%-65%</t>
  </si>
  <si>
    <t>66%-85%</t>
  </si>
  <si>
    <t>86%-100%</t>
  </si>
  <si>
    <t>Consistente</t>
  </si>
  <si>
    <t>Débil</t>
  </si>
  <si>
    <t>Consistencia de los controles</t>
  </si>
  <si>
    <t>Debil</t>
  </si>
  <si>
    <t xml:space="preserve"> Moderado</t>
  </si>
  <si>
    <t>Nivel de consistencia de los controles</t>
  </si>
  <si>
    <t xml:space="preserve"> Moderada</t>
  </si>
  <si>
    <t xml:space="preserve">Rango de Valoración de los controles </t>
  </si>
  <si>
    <t>El asesor juridico con el apoyo de la abogada  de la oficina, realiza  seguimiento periodico al cronograma de capacitaciones del área que incluyen todos los temas necesarios y pertinentes para lograr una apropiada defensa en caso de presentarse una demanda. Dejando constancia en actas y asistencia de las capacitaciones realizadas.</t>
  </si>
  <si>
    <t>El profesional responsable del area de costos mensualmente realiza analisis de costos para evidenciar errores e inconsitencias en la parametrización de la información cargada en el sistema dinámica. Cuando se detectan las inconsitencias se procede por parte del prosional encargado a corregir las parametrizaciones a que hubiere lugar. Como evidencia se presentara el infome mensual.</t>
  </si>
  <si>
    <t>Posibilidad de litigios por el no pago oportuno a terceros</t>
  </si>
  <si>
    <t>La tesorera  es la encargada del diligenciamiento y  Reporte del los indicadores de  pago oportuno a contralistas y proveedores y notificara al subgerente administrativo y finaciero las desviaciones encontradas</t>
  </si>
  <si>
    <t xml:space="preserve"> La  tecnico administrativo de tesorería  al final de la jornada diaria, recepciona los dineros recaudados por venta de servicios corroborando los mismos contra los informes generados por el sistema y dejando constancia de lo recibido en el libro de entrega de efectivo de facturación (urgencias) o Informe resumen de Recibo de caja (consulta externa y Hospitalización). Cuando la entrega de dineros no sucede por parte de los cajeros, la auxiliar administrativa de tesorería identifica mediante el procedimiento Auditoría de Cajeros del módulo de dinámica gerencial, los cajeros faltantes de entrega para realizar el respectivo requerimiento. 
</t>
  </si>
  <si>
    <r>
      <t>La tesorera general realiza auditoria aleatoria  una vez por mes a los diferentes puntos de facturación de la institución, para confirmar que el dinero recaudado se encuentre debidamente custodiado por parte del facturador,</t>
    </r>
    <r>
      <rPr>
        <sz val="10"/>
        <color rgb="FFFF0000"/>
        <rFont val="Arial"/>
        <family val="2"/>
      </rPr>
      <t xml:space="preserve"> </t>
    </r>
    <r>
      <rPr>
        <sz val="10"/>
        <rFont val="Arial"/>
        <family val="2"/>
      </rPr>
      <t>cuando esto no ocurra se realizará el debido reporte a la lider del proceso para determinar la responsabilidad. De la anterior inspección se dilig</t>
    </r>
    <r>
      <rPr>
        <sz val="10"/>
        <color theme="1"/>
        <rFont val="Arial"/>
        <family val="2"/>
      </rPr>
      <t xml:space="preserve">enciará hoja de asistencia, acta y registro fotográfico.
</t>
    </r>
  </si>
  <si>
    <t>incumplimiento a la norma ISO 90001</t>
  </si>
  <si>
    <t>Perdida de la reputacion institucional 
Hacer incurrir a la entidad en sanciones penales, disciplinarias y fiscales</t>
  </si>
  <si>
    <t>Posibilidad de sanciones debido al NO   reporte  o repote extemporaneo de información legal a entes de inspeccion vigilancia y control frente a resolucion 408 de 2018 (indicadores 1, 2,12 ) ,Resolución 256 de 2016,  Decreto 2193
 ( tabla de calidad), circular 012 Super intendencia Nacional de Salud.</t>
  </si>
  <si>
    <t>Posibles sanciones o cierre de servicios asociado al incumplimiento de los estándares de habilitación de la resolución 3100 por no llevar autoevaluación de los mismos.</t>
  </si>
  <si>
    <t>El lider de habilitación de acuerdo  a cronograma realiza rondas de verificación de servicios por medio de la lista de verificación de las condiciones de habilitación, presenta informe y crea un plan de mejora para el respectivo segumiento al cumplimiento de los estandares minimos de habilitacion.</t>
  </si>
  <si>
    <t xml:space="preserve">
Las actividades de los planes de acción derivadas de las no conformidades detectadas en auditorías no van directamente a la causa raiz para mitigar el riesgo de materialización.
La falta de seguimiento y análisis  por parte de los procesos a sus  indicadores de gestión</t>
  </si>
  <si>
    <t xml:space="preserve"> El Profesional de Calidad verificará cada que se levante un plan de mejora producto de auditorías, la adherencia al procedimiento MC-P-02 (Formulación y seguimiento de los planes de mejora) mediante la asesoría y acompañamiento al lider del proceso para asegurar una correcta formulación de las acciones, dejando evidencia del analisis causal realizado con el proceso. </t>
  </si>
  <si>
    <t xml:space="preserve"> El Profesional de Calidad verifica de manera mensual el diligencimiento de los indicadores en el modulo de Daruma, el cual debe ser realizado por parte de los procesos,  esto para detectar incumplimiento tanto en este procedimiento como en el cumplimiento de las metas establecidas. Cuando encuentra desviaciones,  comunica al lider del proceso implicado y realiza la asistencia técnica repectiva. Las evidencias de lo actuado son los correos institucionales, los informes de gestion y las planillas de la asistencia técnica realizada</t>
  </si>
  <si>
    <t>Perdidas economicas
fallas a infraestructura, equipos industriales, mobiliario y/o parque automotor
Un ambiente inseguro para los trabajadores y usuarios de los servicios de salud</t>
  </si>
  <si>
    <t xml:space="preserve">
1
</t>
  </si>
  <si>
    <r>
      <t xml:space="preserve">El profesional de mantenimiento hospitalario verifica  de manera anual frente a la norma (Decreto 1769 de 1964) la formulación del Plan de mantenimiento hospitalario para la vigencia. Documento físico que reposa en los archivos de la oficina de mantenimiento acompañado de acta de aprobación y socializzación.
</t>
    </r>
    <r>
      <rPr>
        <sz val="10"/>
        <rFont val="Arial"/>
        <family val="2"/>
      </rPr>
      <t xml:space="preserve"> </t>
    </r>
  </si>
  <si>
    <t xml:space="preserve">
No adherencia al protocolo de administracion de medicamentos.
No adherencia al protocolo de administracion de identificacion redundante de pacientes ( No realizar chequeo cruzado)</t>
  </si>
  <si>
    <t>N° del Riesgo</t>
  </si>
  <si>
    <t xml:space="preserve">
Falta de competencia del personal.
Falta de adherencia a la resolución 5596 de 2015</t>
  </si>
  <si>
    <t>Posibilidad de fallas en infraestructura, equipos industriales,  mobiliario y  parque automotor por  falta de mantenimientos preventivos</t>
  </si>
  <si>
    <t>Sanciones disciplinarias
Deterioro de la planta física de la institución.
Un ambiente inseguro para los trabajadores y usuarios de los servicios de salud</t>
  </si>
  <si>
    <t xml:space="preserve">Incumplimiento por parte de los contratistas en los plazos y fechas establecidas para la presentación de la cuentas  (registradas y soportadas).  </t>
  </si>
  <si>
    <t>La Tesorera verifica a traves del software Dinamica las cuentas realizadas en los diferentes procesos: Talento Humano, Contratacion y Almacen y realiza un cruce de información entre las cuentas reportadas y cuentas radicadas listas para pago.</t>
  </si>
  <si>
    <t xml:space="preserve">Falta de seguimiento por parte de ventanilla unica, a la correspondencia enviada hacia los Organismos de Direcciòn y Control </t>
  </si>
  <si>
    <t>El profesional universitario de Costos mensualmente socializa el informe y da a conocer los errores o inconsistencias presentada en cada uno de los centros de costos (lideres), para que ellos realicen los correctivos pertinentes con su personal, reportando a la gerencia cuando no se subsanan los errores. Evidencia de las retroalimentaciones realizadas son  los correos electrónicos  institucionales y actas de las socializaciones cuando  a  ello haya lugar.</t>
  </si>
  <si>
    <t>Que se pierda información en el manejo de la correspondencia hacia los Organismos de Direcciòn y Control que nos vigilan</t>
  </si>
  <si>
    <t>Relacion mensual de respuestas realizadas a  acciones de tutelas instauradas en contra de la entidad
La oficina de juridica reportara evidencias de respuestas a derechos de peticion que sean allegados a la oficina mensulmente por las otras areas</t>
  </si>
  <si>
    <t xml:space="preserve"> Las gestoras de seguridad de manera mensual verifican el kit de emergencias obstétricas para garantizar la disponibilidad de insumos y prestacion oportuna de la atención. La evidencia son las evaluaciones realizadas por intermedio del formato GUO-F-24 las cuales son remitidas al lider del proceso GUO para la consolidacion de su informacion. </t>
  </si>
  <si>
    <r>
      <t>El  profesional espacializada de servicios ambulatorios de manera mensual, realizará el seguimiento de los errores atribuibles al personal técnico, mediante el resgistro de errores presentados por cada uno para ser retraolaimentados en reuniones de autocontrol</t>
    </r>
    <r>
      <rPr>
        <sz val="10"/>
        <rFont val="Arial"/>
        <family val="2"/>
      </rPr>
      <t xml:space="preserve"> trimestra</t>
    </r>
    <r>
      <rPr>
        <sz val="10"/>
        <color theme="1"/>
        <rFont val="Arial"/>
        <family val="2"/>
      </rPr>
      <t>l con el animo de hacer conciencia en el personal  técnico sobre las faltas cometidas frente a los protocolos de indentificacion del paciente y toma de estudios diagnosticos.</t>
    </r>
  </si>
  <si>
    <t>Socializacion trimestral de protocolos inherentes al proceso</t>
  </si>
  <si>
    <t xml:space="preserve"> El director y/o coordinador del Banco de Sangre, realiza mensual y anualmente un consolidado estadístico obtenido del software Hexabank, en el que se evidencian el número de donantes y la transfusión por hemocomponentes, esta información se correlaciona con el uso de los recursos mes a mes y se proyecta el consumo tanto mensual y anual, de esta manera se busca satisfacer las necesidades del servicio evitando la compra excesiva de productos.   Los soportes son los informes de estadística mensual del banco de sangre y servicio Transfusional, así como también la proyección anual de compras.</t>
  </si>
  <si>
    <t xml:space="preserve">
Falta de adherencia al Procedimiento de Mantenieminto a  Infraestructura, equipos industriales y parque automotor  (RF-P-02) </t>
  </si>
  <si>
    <t xml:space="preserve">  Reprote cumplimiento del plan de mantenimiento y los informes a los entes de control internos y externos (si aplica) </t>
  </si>
  <si>
    <t>Falta de adherencia a las Guia Practica Clinica de las 5 primeras causas de egreso hospitalario</t>
  </si>
  <si>
    <t xml:space="preserve"> Las gestoras de seguridad del paciente realizan medicion trimestral de adherencia a protocolos. El resusltado de la mediciom sera remitido al lider del proceso para su respectivo informe.</t>
  </si>
  <si>
    <r>
      <rPr>
        <sz val="10"/>
        <rFont val="Arial"/>
        <family val="2"/>
      </rPr>
      <t>Seguridad del paciente</t>
    </r>
    <r>
      <rPr>
        <sz val="10"/>
        <color theme="1"/>
        <rFont val="Arial"/>
        <family val="2"/>
      </rPr>
      <t xml:space="preserve"> hace la medicion trimestral de la adherencia a los protocolos de administracion de medicamentos e identificacion redundante de pacientes. Mediante aplicación de las listas de chequeo establecidas para ello. la administracion correcta de medicamentos en los servicios.  Cuando encuentran desviación Se deja compromisos. Esta informacion se remite al  jefe del proceso quien realiza retroalimentación correctiva y si se vuelve repetitivo, toma medidias administrativas.  </t>
    </r>
  </si>
  <si>
    <r>
      <rPr>
        <sz val="10"/>
        <rFont val="Arial"/>
        <family val="2"/>
      </rPr>
      <t>Seguridad del paciente</t>
    </r>
    <r>
      <rPr>
        <b/>
        <sz val="10"/>
        <rFont val="Arial"/>
        <family val="2"/>
      </rPr>
      <t xml:space="preserve"> </t>
    </r>
    <r>
      <rPr>
        <sz val="10"/>
        <color theme="1"/>
        <rFont val="Arial"/>
        <family val="2"/>
      </rPr>
      <t xml:space="preserve">hace la medicion trimestral de la adherencia al  protocolo de prevencion y accion ante una fuga. Mediante aplicación de las listas de chequeo establecidas para ello. la administracion correcta de medicamentos en los servicios.  Cuando encuentran desviación se deja compromiso. Esta informacion se remite al  jefe del proceso quien realiza retroalimentación correctiva y si se vuelve repetitivo, toma medidias administrativas.  </t>
    </r>
  </si>
  <si>
    <r>
      <t>La lider de Calidad  y su equipo de trabajo  realizan seguimiento trimestral a la gestión de indicadores (Dto 256, cargue de la 2193) conforme a lo establecido en el</t>
    </r>
    <r>
      <rPr>
        <sz val="10"/>
        <color rgb="FFFF0000"/>
        <rFont val="Arial"/>
        <family val="2"/>
      </rPr>
      <t xml:space="preserve"> </t>
    </r>
    <r>
      <rPr>
        <sz val="10"/>
        <rFont val="Arial"/>
        <family val="2"/>
      </rPr>
      <t>procedimiento MC-P-13  (</t>
    </r>
    <r>
      <rPr>
        <sz val="10"/>
        <color theme="1"/>
        <rFont val="Arial"/>
        <family val="2"/>
      </rPr>
      <t xml:space="preserve">procedimiento, formulacion, adopcion y segumiento  de Indicadores) </t>
    </r>
  </si>
  <si>
    <t xml:space="preserve"> El auxiliar de laboratorio que recibe las muestras verifica cada que se recibe una muestra en el dash board, tanto que exista la solicitud médica para las muestras recepcionadas como la calidad de la muestra para darle paso en el tablero a "muestras recolectada" y así empezar su procesamiento, sino aparece la orden medica o no cumple con los criterios de calidad, lo registra en el formato de revision de muestras, realiza el reporte y solicita las mejoras al incidente/ evento adverso.Del anterior control quedan los resgistros de revision de muestras y el número del reporte del evento.</t>
  </si>
  <si>
    <t xml:space="preserve"> Los bacteriologos que procesan las muestras en cada sección  al inicio del día verifican en el sofware ValiQC, que los resultados obtenidos del control se encuentran dentro del rango  establecido y la tendencia con respecto a los valores anteriores registrando las observaciones en un formato de analisis de Controles.</t>
  </si>
  <si>
    <t xml:space="preserve"> La coordinadora del laboratorio mensualmente verifica la existencia de los insumos y reactivos en bodega.  SE compara la estadistica de los examenes realizados con la cantidad de reactivos entregados al servicio.si se  evidencia desviaciones en los inventarios, se indaga el motivo a los responsables del area, mientras se realiza los nuevos pedidos al área de almacén. El control se evidencia en  las solicitudes realizadas por parte del encargado de cada seccion del laboratorio.  </t>
  </si>
  <si>
    <t xml:space="preserve">Desconocimiento del protocolo de identificacion redundante de pacientes (No realizar chequeo cruzado)
</t>
  </si>
  <si>
    <t xml:space="preserve">Perdida financiera
</t>
  </si>
  <si>
    <t xml:space="preserve">
Deficiente segumiento de las formulas de los medicamentos de control
Falta de verificacion de las formulas
</t>
  </si>
  <si>
    <t xml:space="preserve"> El auxiliar de farmacia a cargo del proceso de dispensacion verifica en cada entrega de turno que todos las dispensaciones en sistema esten efectivamente registradas y confirmadas.  Formato de conteo de medicamentos de control.</t>
  </si>
  <si>
    <t>El profesional quimico farmaceutico verifica semanalmente que todo lo dispensado en sistemas aparezca registrado y confirmado. Formato de conteo de inventarios de stocks y bodega de medicamentos de control.</t>
  </si>
  <si>
    <t xml:space="preserve"> La instrumentadora de la central de esterilización verifica trimestralmente el  cronograma de mantenimiento del autoclave por parte del área de biomédica para corroborar el cumplimiento del mismo, dejando como evidencia el informe final presentado por la empresa contratada para ello. Cuando no se consigue el objetivo de obtener el mantenimiento del autoclave por parte del contratista, se traslada la necesidad al area de biomédica para que ellos hagan lo pertienete.
formato de verificación de dispositivo estéril.de controles químicos, biológicos, etc., requeridos para el proceso.</t>
  </si>
  <si>
    <t xml:space="preserve"> El ingeniero de sistemas asigando para la creacion de usuarios corrobora  cada que hay una solicitud de apertura recibida del área de de talento humano, la existencia física del mismo con la presentación personal del funcionario ante la oficina de tecnologia e información, para asignar los roles, usuarios y contraseñas segun corresponda a las actividades a realizar. Soportes: dejando constancia en el listado generado por el diligenciamiento del formato TI-F-01 y en el acta de la socializacion de las politicas de seguridad de la informacion institucional realizada.</t>
  </si>
  <si>
    <t>Posiblidad de Bloqueo de los sistemas de información, equipos de computo  por desactualización Tecnológica</t>
  </si>
  <si>
    <t>El profesional y Jefe del área de sistemas, verifica la necesidad y posibilidad  de una mejora o actualización  en los S.I y sotfware, que a la vez sera remitido a la Direccion de la institución para su aprobación. De igual manera realiza la supervisión a los contratos firmados que tiene la institución  con los proveedores para el sistema de información digital,  servicios  de canal dedicado para internet, correo electronico, pagina Web y contratos de compra de equipos de computo para renovación.
soportes: contratos firmados por los proveedores. Informe de supervisión de acuerdo a lo estipulado al contrato.</t>
  </si>
  <si>
    <t>Inconvenientes de configuración y direccionamiento.
Cortes de fibra optica
Mantenimiento de las redes y equipos.
Daños en el datacenter.
 falta de espacio para salvaguardar informacion. 
 La Interrupción del servicio de Internet por parte del Proveedor de Servicios de Internet.
 Daños en la infraestructura de cableado externo.
 implementación de nuevas tecnologías.
 terremoto, inundación o Incendio
Bloqueo de hardware y software</t>
  </si>
  <si>
    <t xml:space="preserve">Evolución y mejora continua de la tecnologia en cuanto a Hardware y Software.
Falta de contrato de mantenimiento de software  Falta de contrato de mantenimiento de hardware
No existe proveedor q de soporte o mantenimiento en HW o SW.   
Cambios en la normatividad que obligue a realizar grandes actualizaciones. </t>
  </si>
  <si>
    <t>Interrupción del servicio</t>
  </si>
  <si>
    <t>Bloqueo de los sistemas de informació</t>
  </si>
  <si>
    <t>El funcionario encargado de la ventanilla unica revisa cada que se realiza el despacho de las comunicaciones, que la correspondencia enviada sea recibida por el destinatario verificando el recibido de las mismas y registrando la entrega en la planilla establecida, lo anterior con el fin de tener el control de la entrega de la misma. El registro de lo actuado, será el formato  TI-F-04 Formato planilla de correspondencia enviada V2 diligenciado. Cuando el seguimiento se detecta que no se realiza la entrega oportuna, la funcionaria requiere la información pertinente al encargado de la entrega de la comunicación, registra lo acontecido en la casilla de observaciones del formato antes mencionado, de igual manera deja evidencia del requerimiento mediante el formato TI-F-06 Recordatorio de Devolución de Documentos.</t>
  </si>
  <si>
    <t xml:space="preserve"> El ingeniero de sistemas de manera  trimestral confronta con los listados emitidos por la oficina de talento humano (ticket o correo electronico) y con los diferentes servicios, los  usuarios existentes de los  sistemas de información institucional para detectar usuarios sin uso y usuarios utilizados por la persona incorrecta, dejando constancia de los hallazgos encontrados en el reporte de usuarios creado en el sistema y las novedades reportadas por el área de Talento Humano. 
soportes: Acta de creacion(formato TI-F-01) e inactivación de usuarios de acuerdo a la relacion enviada por Talento Humano.</t>
  </si>
  <si>
    <t xml:space="preserve">Valoracion solidez </t>
  </si>
  <si>
    <t>de los controles</t>
  </si>
  <si>
    <t>Evidencias</t>
  </si>
  <si>
    <t>Soporte
 Evidencias</t>
  </si>
  <si>
    <t xml:space="preserve">
Actas de reunion de compromisos generados, cuando aplique
Formato DE-F-01  Plan Operativo Anual 
</t>
  </si>
  <si>
    <t xml:space="preserve"> Informe seguimiento a indicadores y las planillas de la asistencia técnica realizada</t>
  </si>
  <si>
    <t xml:space="preserve"> Actas de Asesoría y acompañamiento al lider del proceso en los Planes de mejora  para asegurar una correcta formulación de las acciones dejando evidencia del analisis causal realizado con el proceso. </t>
  </si>
  <si>
    <t>Listas de chequeo establecidas.
Actas de socializacion y   listas de asistencia</t>
  </si>
  <si>
    <t>Informe de la adherencia a las Guías de Colaspco materno,listas de chequeo  y  acta de socializacion.</t>
  </si>
  <si>
    <t xml:space="preserve">Informe de las evaluaciones realizadas por intermedio del formato GUO-F-24 </t>
  </si>
  <si>
    <t>informe ejecutivo trimestral  de las 5 primeras caudad de egreso hospitalario</t>
  </si>
  <si>
    <t>Actas de socializacion y lista de asistencia.</t>
  </si>
  <si>
    <t xml:space="preserve">Informe  ejecutivo de las resultados obtenidos de las mediciomes de adherencia.
 acta de socializacion con lista de asistencia 
 </t>
  </si>
  <si>
    <t xml:space="preserve">Informe ejecutivo con la informacion de las principales  causas de glosas por pertinencia medica y manejo o seguimiento realizado. 
acta de socializacion con lista de asistencia 
</t>
  </si>
  <si>
    <t xml:space="preserve">
El registro del control son los seguimientos a través de la plataforma.</t>
  </si>
  <si>
    <t xml:space="preserve">
 Revisado en los cuadro de turnos de los especialistas, los correos  y las agendas disponibles. </t>
  </si>
  <si>
    <t xml:space="preserve">
    kardex y el semáforo acorde al vencimiento.</t>
  </si>
  <si>
    <r>
      <t xml:space="preserve"> </t>
    </r>
    <r>
      <rPr>
        <b/>
        <sz val="10"/>
        <color theme="1"/>
        <rFont val="Arial"/>
        <family val="2"/>
      </rPr>
      <t xml:space="preserve">
</t>
    </r>
    <r>
      <rPr>
        <sz val="10"/>
        <color theme="1"/>
        <rFont val="Arial"/>
        <family val="2"/>
      </rPr>
      <t xml:space="preserve">     Informes de estadística mensual del banco de sangre y servicio Transfusional, así como también la proyección anual de compras.
 El consolidado anual se reporta en el primer trimestre de cada año.</t>
    </r>
  </si>
  <si>
    <r>
      <rPr>
        <b/>
        <sz val="10"/>
        <color theme="1"/>
        <rFont val="Arial"/>
        <family val="2"/>
      </rPr>
      <t xml:space="preserve"> </t>
    </r>
    <r>
      <rPr>
        <sz val="10"/>
        <color theme="1"/>
        <rFont val="Arial"/>
        <family val="2"/>
      </rPr>
      <t xml:space="preserve">
Listas de chequeo aplicadas para la verificacion trimentral de la adherencia al protocolo de identificación del paciente y chequeo cruzado.</t>
    </r>
  </si>
  <si>
    <t xml:space="preserve">
Formato de asistencia de las reuniones trimestraleas de autocontrol.</t>
  </si>
  <si>
    <t xml:space="preserve">
Verificacion antes de la lectura mediante el analisis de la imagen, la correcta toma del estudio por parte de los técnicos, dejando evidencia del hallazgo en el grupo de whatsap de imagenología, para luego ser corregido por los técnicos</t>
  </si>
  <si>
    <t xml:space="preserve">
Acta de socializaciones y formato de asistencias </t>
  </si>
  <si>
    <t>1 El auxiliar de farmacia a cargo, por cuadro de turnos, semanalmente surte los productos recibidos de almacen general en los estantes de almacenamiento masivo de cada farmacia teniendo en cuenta colocar en la parte frontal los productos mas proximos a vencer. Y de igual forma toma de estos productos para surtir unidades sueltas en  los estantes de dispensacion, intercambiando de sitio los lotes deacuerdo a su fecha de vencimiento, asegurando que lo mas proximo a vencer, sea lo primero en salir. Acta semanal.</t>
  </si>
  <si>
    <t>El profesional quimico farmaceutico verifica mensualmente que todo lo dispensado en sistemas aparezca registrado y confirmado.</t>
  </si>
  <si>
    <t xml:space="preserve">Informe mensual  de  verificacion  </t>
  </si>
  <si>
    <t>Acta  semanal  de  verificacion  y rotacion de medicamentos</t>
  </si>
  <si>
    <t>Formato de conteo de medicamentos de control.</t>
  </si>
  <si>
    <t xml:space="preserve"> Formato de conteo de inventarios de stocks y bodega de medicamentos de control.</t>
  </si>
  <si>
    <t xml:space="preserve">
informe final presentado por la empresa contratada.
 formato de verificación de dispositivo estéril.de controles químicos, biológicos, etc., requeridos para el proceso.</t>
  </si>
  <si>
    <r>
      <rPr>
        <b/>
        <sz val="10"/>
        <color theme="1"/>
        <rFont val="Arial"/>
        <family val="2"/>
      </rPr>
      <t xml:space="preserve">
</t>
    </r>
    <r>
      <rPr>
        <sz val="10"/>
        <color theme="1"/>
        <rFont val="Arial"/>
        <family val="2"/>
      </rPr>
      <t xml:space="preserve"> las solicitudes de pedido en dinamica gerencial modulo operativo (pedidos). </t>
    </r>
  </si>
  <si>
    <t>TRANSVERSAL</t>
  </si>
  <si>
    <r>
      <rPr>
        <b/>
        <sz val="10"/>
        <color theme="1"/>
        <rFont val="Arial"/>
        <family val="2"/>
      </rPr>
      <t xml:space="preserve">
</t>
    </r>
    <r>
      <rPr>
        <sz val="10"/>
        <color theme="1"/>
        <rFont val="Arial"/>
        <family val="2"/>
      </rPr>
      <t xml:space="preserve"> El correo institucional de la gestión realizada</t>
    </r>
  </si>
  <si>
    <t>Macro procesos</t>
  </si>
  <si>
    <t>ESTRATEGICOS</t>
  </si>
  <si>
    <t>MISIONALES</t>
  </si>
  <si>
    <t>APOYO</t>
  </si>
  <si>
    <t>EVALUACION</t>
  </si>
  <si>
    <r>
      <rPr>
        <b/>
        <sz val="10"/>
        <color theme="1"/>
        <rFont val="Arial"/>
        <family val="2"/>
      </rPr>
      <t xml:space="preserve">
</t>
    </r>
    <r>
      <rPr>
        <sz val="10"/>
        <color theme="1"/>
        <rFont val="Arial"/>
        <family val="2"/>
      </rPr>
      <t xml:space="preserve"> Verificacion en los listados restrictivos o vinculantes de actividades de LA/FT</t>
    </r>
  </si>
  <si>
    <t>Plan de mantenimiento hospitalario y acta de aprobación y socializzación.</t>
  </si>
  <si>
    <t>Informe trimestral de cunplimiento al plan de manternimiento institucional</t>
  </si>
  <si>
    <r>
      <t xml:space="preserve"> Informes  de solicitudes de actividades de mantenimiento correctivos y preventivos   y su respectiva realizacion.  
</t>
    </r>
    <r>
      <rPr>
        <sz val="10"/>
        <color rgb="FFFF0000"/>
        <rFont val="Tahoma"/>
        <family val="2"/>
      </rPr>
      <t/>
    </r>
  </si>
  <si>
    <t xml:space="preserve">Informe trimestral por edades de las cuentas y reporte del indicadoe (pago oportuno a contralistas y proveedores)
</t>
  </si>
  <si>
    <t xml:space="preserve">  Reporte  y notificacion del cumplimiento de las metas  los indicadores de  pago oportuno a contralistas y proveedores</t>
  </si>
  <si>
    <t xml:space="preserve">
Actas firmadas por las partes.</t>
  </si>
  <si>
    <r>
      <rPr>
        <b/>
        <sz val="10"/>
        <color theme="1"/>
        <rFont val="Arial"/>
        <family val="2"/>
      </rPr>
      <t xml:space="preserve"> 
</t>
    </r>
    <r>
      <rPr>
        <sz val="10"/>
        <color theme="1"/>
        <rFont val="Arial"/>
        <family val="2"/>
      </rPr>
      <t>Correos emitidos de planeacion y las comunicaciones internas que incluyen listados de recibido de la informacion impartida</t>
    </r>
  </si>
  <si>
    <t>Acta de creacion(formato TI-F-01) e inactivación de usuarios de acuerdo a la relacion enviada por Talento Humano</t>
  </si>
  <si>
    <t>Acta de socializacion Guía para el manejo y uso adecuado de los equipos de computo TI-I-03</t>
  </si>
  <si>
    <t xml:space="preserve"> TI-F-04 Formato planilla de correspondencia enviada   diligenciado. 
Formato TI-F-06 Recordatorio de Devolución de Documentos. (cuando aplique)  </t>
  </si>
  <si>
    <t xml:space="preserve">TI-F-04 Formato planilla de correspondencia enviada   diligenciado.  </t>
  </si>
  <si>
    <t xml:space="preserve">Realizar un diagnostico de fallos en contra de la institucion del año inmediatamente anterior  a corte del 31 de diciembre.
( Motivos por los cuales se fallo en contra y afectacion economica para la entidad) </t>
  </si>
  <si>
    <t xml:space="preserve">Informe anual
 ( primer trimestre del año siguiente)
</t>
  </si>
  <si>
    <r>
      <rPr>
        <b/>
        <sz val="10"/>
        <color theme="1"/>
        <rFont val="Arial"/>
        <family val="2"/>
      </rPr>
      <t xml:space="preserve"> 
</t>
    </r>
    <r>
      <rPr>
        <sz val="10"/>
        <color theme="1"/>
        <rFont val="Arial"/>
        <family val="2"/>
      </rPr>
      <t>Actas y registro de asistencia de las capacitaciones realizadas.</t>
    </r>
  </si>
  <si>
    <t xml:space="preserve">
 Registro de asistencia al Comite de Conciliacion dos veces por mes</t>
  </si>
  <si>
    <r>
      <rPr>
        <b/>
        <sz val="10"/>
        <color theme="1"/>
        <rFont val="Arial"/>
        <family val="2"/>
      </rPr>
      <t xml:space="preserve"> </t>
    </r>
    <r>
      <rPr>
        <sz val="10"/>
        <color theme="1"/>
        <rFont val="Arial"/>
        <family val="2"/>
      </rPr>
      <t xml:space="preserve">  Libro de consecutivos de correspondencia-casilla observaciones.</t>
    </r>
  </si>
  <si>
    <t>Certificación de los procesos evaluados objetivamente de manera trimestral a fin de proferirse Autos de cargos.</t>
  </si>
  <si>
    <t xml:space="preserve">
Acta de soacialización y revisón de informe.</t>
  </si>
  <si>
    <r>
      <rPr>
        <b/>
        <sz val="10"/>
        <color theme="1"/>
        <rFont val="Arial"/>
        <family val="2"/>
      </rPr>
      <t xml:space="preserve">
</t>
    </r>
    <r>
      <rPr>
        <sz val="10"/>
        <color theme="1"/>
        <rFont val="Arial"/>
        <family val="2"/>
      </rPr>
      <t>Evaluación realizada en el formato GCI-F-07 frente a futuras auditorías</t>
    </r>
  </si>
  <si>
    <r>
      <t>El líder de mantenimiento y técnicos  según cronograma,  aplica lo establecido en el  Procedimiento de Mantenieminto a  Infraestructura, equipos industriales y parque automotor  (RF-P-02)</t>
    </r>
    <r>
      <rPr>
        <b/>
        <sz val="10"/>
        <color theme="1"/>
        <rFont val="Arial"/>
        <family val="2"/>
      </rPr>
      <t xml:space="preserve"> </t>
    </r>
    <r>
      <rPr>
        <sz val="10"/>
        <color theme="1"/>
        <rFont val="Arial"/>
        <family val="2"/>
      </rPr>
      <t xml:space="preserve">a fin de minimizar el fallo en los equipos y </t>
    </r>
    <r>
      <rPr>
        <sz val="10"/>
        <color rgb="FFC00000"/>
        <rFont val="Arial"/>
        <family val="2"/>
      </rPr>
      <t xml:space="preserve"> </t>
    </r>
    <r>
      <rPr>
        <sz val="10"/>
        <color theme="1"/>
        <rFont val="Arial"/>
        <family val="2"/>
      </rPr>
      <t xml:space="preserve">deja constancia del reporte de solicitudes de actividades de mantenimiento correctivos y preventivos y su respectiva realizacion. </t>
    </r>
  </si>
  <si>
    <t xml:space="preserve">No adherencia al protocolo de administracion de medicamento y al protocolo de identificacion redundante de pacientes ( no realizar chequeo cruzado)
</t>
  </si>
  <si>
    <t>SI</t>
  </si>
  <si>
    <t>NO</t>
  </si>
  <si>
    <t>VERSION:</t>
  </si>
  <si>
    <t>VIGENCIA:</t>
  </si>
  <si>
    <t>MC-F-91</t>
  </si>
  <si>
    <t>CODIGO:</t>
  </si>
  <si>
    <t>FORMATO PARA EL REPORTE DE RIESGOS MATERIALIZADOS</t>
  </si>
  <si>
    <t>RIESGO MATERIALIZADO</t>
  </si>
  <si>
    <t>CAUSA DE LA MATERIALIZACION DEL RIESGO</t>
  </si>
  <si>
    <t>TRATAMIENTO PARA RIESGOS MATERIALIZADOS</t>
  </si>
  <si>
    <t>MEJORA REALIZADA</t>
  </si>
  <si>
    <t>Señale de la lista, el tratamiento que va a realizar para evitar que el riesgo vuelva a materializarse:
a) Implementar controles establecidos pero no ejecutados
b) Mejorar los controles existentes en cuanto a fortalecer los atributos que presenten debilidades
c) Adoptar nuevos controles
d) Emprender acciones previas que complementen el control y ayuden a mitigar el riesgo</t>
  </si>
  <si>
    <t>El profesional universitario del area de gestion ambiental  y su personal de apoyo  verifica semanalmente  el adecuado manejo de los residuos biologicos y de aseo en los servicios asistenciales,  mediante la aplicación de los formatos: inspeccion de  bioseguridad manejo ambiental (RF-F-60),  inspeccion residuos hospitalarios y similares ( RF-F-70) y seguimiento del proceso de limpieza y desinfeccion ( RF-F-50) elaborando un analisis y capacitando a las áreas de acuerdo a los resultados del análisis. Evidencia de ello queda plasmado en los formatos mencionados debidamente diligenciados y firmados, y las actas de Socializaciones.</t>
  </si>
  <si>
    <t xml:space="preserve"> 1. Formatos RF - F-50,  RF-F-60 y RF-F-70 debidamente diligenciado   y  firmados.
  2. Actas de Socializaciones.</t>
  </si>
  <si>
    <t>Mas de 10</t>
  </si>
  <si>
    <t>Profesional de calidad</t>
  </si>
  <si>
    <t>Elaboró</t>
  </si>
  <si>
    <t>Revisó</t>
  </si>
  <si>
    <t>Aprobó</t>
  </si>
  <si>
    <t>Documento de: Sistema Integrado de Gestión (SIG)</t>
  </si>
  <si>
    <t xml:space="preserve">Posibilidad de sanciones Administrativas y disciplinarias debido al incumplimiento de las metas establecidas frente a la planeación estratégica por falta de seguimiento </t>
  </si>
  <si>
    <t>Posibilidad de sanciones Administrativas  debido al incumplimiento de las politicas de gestión y desempeño institucional por falta de implementación y seguimiento</t>
  </si>
  <si>
    <t xml:space="preserve">1, Informe trimestral de reporte Resol  256/ 2016
2, Informe trimestral de reporte Dto 2193 /2004
3, informe anual  de la circular 012 / 2016 SNS.
 28 feb del año siguente.
  </t>
  </si>
  <si>
    <t xml:space="preserve"> Acta debidamente firmada 
Formato  TI-F-26 Registro y control de solicitudes al archivo central</t>
  </si>
  <si>
    <t xml:space="preserve"> Semaforización por servicio del cumplimiento de uso de EPP. </t>
  </si>
  <si>
    <t xml:space="preserve"> Chequeo realizado a su personal, En los formatos  TH-F-12.</t>
  </si>
  <si>
    <t xml:space="preserve"> La oficina de SST verifica  periodicamente la adherencia del uso de EPP y la apliacion de las medidas de bioseguridad por parte del personal de las sedes y servicios, y realiza sensibilización durante las rondas. Como producto de lo anterior se elaboran las respectivas  actas a las cuales se les anexa los soportes del de la verificación (formato TH-F-41), esto ultimo se utiliza como insumo para la elaborar la semaforización por servicios y sedes y se comparte mensualmente a todas las dependencias de la entidad mediante correo institucional para que los jefes y el personal tomen las medidas correspondientes.</t>
  </si>
  <si>
    <t>Formato lista de verificacion de identificacion del paciente MC-F-47</t>
  </si>
  <si>
    <t>Formato lista de verificacion de administracion de medicamentos SF-F-50</t>
  </si>
  <si>
    <r>
      <t xml:space="preserve">1.Cronograma
2. Lista de verificación aplicada a cada grupo de estandares 
3. Informe de verificación condiciones de habilitación
</t>
    </r>
    <r>
      <rPr>
        <sz val="10"/>
        <rFont val="Arial"/>
        <family val="2"/>
      </rPr>
      <t>4.plan de mejora</t>
    </r>
  </si>
  <si>
    <t>Sin reporte</t>
  </si>
  <si>
    <t>Resultados de la encuesta y Planes de accion aprobados por la directora. Se reporta el 1 trimestre del siguiente año</t>
  </si>
  <si>
    <t>PEDIATRIA</t>
  </si>
  <si>
    <t>UNIDAD MENTAL</t>
  </si>
  <si>
    <t xml:space="preserve">INTERNACION
1,2,3
</t>
  </si>
  <si>
    <t>No adherencia al protocolo de Caidas</t>
  </si>
  <si>
    <t>No adherencia al protocolo de administracion de medicamento y al protocolo de identificacion redundante de pacientes ( no realizar chequeo cruzado)</t>
  </si>
  <si>
    <t xml:space="preserve">Seguridad del paciente hace la medicion trimestral de la adherencia a los protocolos de administracion de medicamentos e identificacion redundante de pacientes. Mediante aplicación de las listas de chequeo establecidas para ello. la administracion correcta de medicamentos en los servicios.  Cuando encuentran desviación Se deja compromisos. Esta informacion se remite al  jefe del proceso quien realiza retroalimentación correctiva y si se vuelve repetitivo, toma medidias administrativas.  </t>
  </si>
  <si>
    <t>UCI NEONATAL</t>
  </si>
  <si>
    <t xml:space="preserve"> UCI ADULTOS   </t>
  </si>
  <si>
    <t xml:space="preserve">Posibilidad de generar eventos adversos en la aplicación de medicamentos </t>
  </si>
  <si>
    <t>Posibilidad de generar eventos adversos relacionados con la fase preanalitica de   toma de muestras de laboratorio.</t>
  </si>
  <si>
    <t>No adherencia al Manual Toma de Muestras LC-M-02</t>
  </si>
  <si>
    <t>No adherencia al protocolo de administracion de medicamento SF-Pt-01 y al protocolo de identificacion redundante de pacientes MC-Pt-08 ( no realizar chequeo cruzado)</t>
  </si>
  <si>
    <t>No adherencia al  protocolo de prevencion y accion ante una fuga
MC-Pt-14  
Falta de vigilancia  de acceso e infraestructura</t>
  </si>
  <si>
    <t>No adherencia al protocolo prevencion de Caidas MC-Pt-09</t>
  </si>
  <si>
    <t>No adherencia al protocolo de nutricion enteral para neonatos GCC-PT-35</t>
  </si>
  <si>
    <t>Imcumplir con los objetivos de seguridad del paciente en la entidad.   
Afectacion economica y Reputacional</t>
  </si>
  <si>
    <t>El jefe de enfermeria de cada  turno realizara  la supervicion aleatorea  en el cumplimiento y adherencia al protocolo de prevencion de caidas, mediante formato lista de verificacion prevencion de caidas  para los pacientes  hospitalizados en el servicio</t>
  </si>
  <si>
    <t>Formato lista de verificacion prevencion de caidas  MC-F-57</t>
  </si>
  <si>
    <t>*Mencione la causa  existente que contribuyó a que el riesgo se materializara.
*Si se identifica una o varias causas nuevas, por favor especifíquelo al redactarla.</t>
  </si>
  <si>
    <t>*Si su respuesta es b), c) o d) o una combinacion de ellas, describa en qué consiste cada opcion. 
*Para la opcion d) establezca la fecha limite para la ejecucion de la actividad planteada</t>
  </si>
  <si>
    <t xml:space="preserve">
Posibilidad de sanciones disciplinarias por no ejecutar el Plan de Mantenimiento
</t>
  </si>
  <si>
    <t>Certificacion de la Verificacion de las cuentas, liquidación de la retencion y deducciones  tributarias para detectar errores.</t>
  </si>
  <si>
    <t>MATRIZ DE RIESGO INSTITUCIONAL HOSPITAL DEPARTAMENTAL MARIA INMACULADA ESE 2025</t>
  </si>
  <si>
    <t>El coordinador, lider y/o jefes de enfermeria del servicios realizan Socializacion semestral de protocolos: 
* Administracion de  medicamentos 
* Identificacion redundante de Pacientes.</t>
  </si>
  <si>
    <t>El jefe de enfermeria de turno realizara  la supervicion semanal  aleatorea  en el chequeo cruzado para los pacientes  hospitalizados en cada servicio</t>
  </si>
  <si>
    <t>Formato lista de verificacion de administracion de medicamentos SF-F-50 debidamente diligenciado.</t>
  </si>
  <si>
    <t>Formato lista de verificacion de identificacion del paciente MC-F-47 debidamente diligenciado.</t>
  </si>
  <si>
    <t xml:space="preserve">El coordinador, lider y/o jefes de enfermeria del servicios realizan Socializacion semestral de protocolos:
*  protocolo prevencion de Caidas
</t>
  </si>
  <si>
    <t xml:space="preserve">
Aplicación del  Formato lista de verificacion prevencion de caidas y apoyo del area de psicologia y trabajo social cuando se trate de pacientes sin acompañante permanente que vengan de trastado de UCI a piso:
*paciente desorientado
*paciente bajo medicamentos antipsicoticos
</t>
  </si>
  <si>
    <t>*Nota de evolucion realizada por psicologia y/o trabajo social en la historia clinica 
* Formato lista de verificacion prevencion de caidas  MC-F-57 debidamente diligenciado.</t>
  </si>
  <si>
    <t>Si su respuesta es b), c) o d) o una combinacion de ellas, describa en qué consiste cada opcion. Para la opcion d) establezca la fecha limite para la ejecucion de la actividad planteada</t>
  </si>
  <si>
    <t>Matriz de capacitaciones con seguimiento de indicadores.</t>
  </si>
  <si>
    <t>Analisis y alimentación del indicador de cumplimiento del mantenimiento preventivo de los equipos biomédicos</t>
  </si>
  <si>
    <t xml:space="preserve">Actas de capacitacion y listados de asistencia </t>
  </si>
  <si>
    <t xml:space="preserve">
*Mencione el Numero y el riesgo materializado.
* Si se trata de un riesgo materializado que no está en la matriz, especifíquelo y redactelo aquí, tenga en cuenta los atributos para el diseño de controles:
-Responsable
-Peridodicidad con la que se efecuará el control
-En qué consiste el control
-Para qué se crea el control
-Que se hace ante las desviaciones encontradas al aplicar el control
-Registro que deja el control</t>
  </si>
  <si>
    <t xml:space="preserve">*Mencione la causa que contribuyó a que el riesgo se materializara.
*Si se identifica una o varias causas nuevas, por favor especifíquelo al redactarla. </t>
  </si>
  <si>
    <t>REPORTE DE RIESGOS MATERIALIZADOS</t>
  </si>
  <si>
    <t xml:space="preserve">  
Actas de comité MIPG</t>
  </si>
  <si>
    <t>Formato lista de verificacion prevencion de caidas  
MC-F-57 debidamente diligenciado.</t>
  </si>
  <si>
    <t xml:space="preserve">Acta de socializacion y lista de asistencia. </t>
  </si>
  <si>
    <t xml:space="preserve">Informes de medicion de adherencia  y listas de chequeo. 
</t>
  </si>
  <si>
    <t>El  lidere y/o jefes de enfermeria del servicios realizan Socializacion Trimestral del Manual:: 
* Manual toma de Muestras LC-M- 02</t>
  </si>
  <si>
    <t>Formato lista de verificacion de toma de muestra sanguinea
LC-F-167  debidamente diligenciado</t>
  </si>
  <si>
    <r>
      <t xml:space="preserve">*Formato </t>
    </r>
    <r>
      <rPr>
        <b/>
        <sz val="10"/>
        <color rgb="FF0070C0"/>
        <rFont val="Arial"/>
        <family val="2"/>
      </rPr>
      <t>GCC-F</t>
    </r>
    <r>
      <rPr>
        <sz val="10"/>
        <color theme="1"/>
        <rFont val="Arial"/>
        <family val="2"/>
      </rPr>
      <t>- lista de verificacion de  nutricion enteral para neonatos debidamente codificado
* Implementarlo en el servicio debidamente diligenciado</t>
    </r>
  </si>
  <si>
    <t xml:space="preserve">Realizar pedido de suministros y medicamentos  necesarios para garantizar el normal funcionamiento del servicio. Dejando trazabilidad del pedido realizado y la respuesta del area de farmacia o almacen. </t>
  </si>
  <si>
    <t xml:space="preserve"> La jefe de enfermería de turno  verifica y repone los insumos medicoquirurgicos utiizados en cada emergencia obstétrica para garantizar que el kit quede completo para proximas atenciones. La evidencia son los registros realizados en el formato GUO-F-23  y GUO-F-30  Los cuales son remitidos al lider del proceso GUO para la consolidacion de su informacion. </t>
  </si>
  <si>
    <t xml:space="preserve"> Los registros realizados en el formato GUO-F-23 y GUO-F-30</t>
  </si>
  <si>
    <t>El lider de proceso realiza solicitud de compra de atriles para  poder garantizar  1 atril por cada paciente. y la trazabilidad del pedido y respuesta del area de almacen hasta materializar su compra</t>
  </si>
  <si>
    <t xml:space="preserve">El lider del proceso realiza socializacion trimestral de los protocolos:
 * administracion  de medicamentos  (sensibilizacion de los 12 correctos)
 * identificacion redundante de pacientes          (chequeo cruzado).
</t>
  </si>
  <si>
    <t xml:space="preserve">El lider del proceso realiza socializacion trimestral de los protocolos:  
* prevencion y accion  ante una fuga 
* identificacion redundante de pacientes          (chequeo cruzado).
</t>
  </si>
  <si>
    <t>No adherencia al  protocolos prevencion y accion ante una fuga</t>
  </si>
  <si>
    <t>Imcumplir con los objetivos de seguridad del paciente en la entidad. 
Afectacion economica y Reputacional</t>
  </si>
  <si>
    <t xml:space="preserve"> Lista de chequeo establecida en el manual de contratacion insitucional
formatos  GJ-F-14 
TH-F-79</t>
  </si>
  <si>
    <t>Certificacion trimestral  del desempeño del proceso.</t>
  </si>
  <si>
    <t>El profesional encargado de la Administración de las redes de Datos y/o Telecomunicaciónes y  los Tecnicos de Sistemas mediante la ejecución de los cronogramas establecidos  para los mantenimientos preventivos de la infraestructura de la red de datos. 
soportes:Cronogramas de mantenimientos, reportes plataforma de ticket o informe realizado por el tecnico.  Analisis indicador TI-I-10</t>
  </si>
  <si>
    <t>Cronogramas de mantenimientos, reportes plataforma de ticket, indicador TI-I-10</t>
  </si>
  <si>
    <t>Socializar la Guía para el manejo y uso adecuado de los equipos de computo TI-I-03 con el personal administrativo y asistencial.
Soportes:Acta de socializacion Guía para el manejo y uso adecuado de los equipos de computo TI-I-03</t>
  </si>
  <si>
    <t xml:space="preserve"> *Contratos firmados por los proveedores. 
*Informe de supervisión de acuerdo a lo estipulado al contrato.</t>
  </si>
  <si>
    <t xml:space="preserve"> El profesional de sistemas realiza la trazabilidad del tiempo de uso  y actualizaciones de los  equipos de computo, mediante las hojas de vida de los equipos, medicion del indicador TI-11 Obsolescencia de equipos, mediante el inventario de los equipos de computo. Estas mejoras o actualizaciones   se  van desarrollando de acuerdo a las exigencias en la necesidad de los servicios que ofrece la institución.
soportes: Hojas de vida de computo, indicador TI-11 Obsolescencia de equipos.</t>
  </si>
  <si>
    <t xml:space="preserve"> *Hojas de vida de computo
*indicador TI-11 Obsolescencia de equipos.</t>
  </si>
  <si>
    <r>
      <rPr>
        <b/>
        <sz val="10"/>
        <color theme="1"/>
        <rFont val="Arial"/>
        <family val="2"/>
      </rPr>
      <t xml:space="preserve"> 
</t>
    </r>
    <r>
      <rPr>
        <sz val="10"/>
        <color theme="1"/>
        <rFont val="Arial"/>
        <family val="2"/>
      </rPr>
      <t xml:space="preserve"> Certificacion -  Evidencia de las revisiones realizadas quedan en el acta levantada sobre la verificacion realizada .</t>
    </r>
  </si>
  <si>
    <t>*Mencione  el riesgo materializado. *Mencione el número de  veces    que se materializó en el trimeste.
 * Si se trata de un riesgo materializado que no está en la matriz, especifíquelo y redactelo aquí, tenga en cuenta los atributos para el diseño de controles:
-Responsable
-Peridodicidad con la que se efecuará el control
-En qué consiste el control
-Para qué se crea el control
-Que se hace ante las desviaciones encontradas al aplicar el control
-Registro que deja el control</t>
  </si>
  <si>
    <t>El coordinador, lideres  y/o jefes de enfermeria del servicio realizan Socializacion Trimestral de protocolos: 
* Administracion de  medicamentos 
* Identificacion redundante de Pacientes.</t>
  </si>
  <si>
    <t>El coordinador, lideres  y/o jefes de enfermeria del servicio realizan Socializacion Trimestral de protocolos: 
* Protocolo de nutricion enteral para neonatos GCC-PT-35</t>
  </si>
  <si>
    <t xml:space="preserve">El lider  y/o jefes de enfermeria del servicios crearan un formato lista de verificacion de  nutricion enteral para neonatos, para medir la adherencia al manual y lo implementaran en el servicio. </t>
  </si>
  <si>
    <t xml:space="preserve">*Oficios, correos y demas solicitudes realizadas.
* trazabilidad del pedido realizado y la respuesta del area de farmacia o almacen. </t>
  </si>
  <si>
    <r>
      <t xml:space="preserve">Los coordinadores de los servicios  que hacen parte del proceso de GCC(UCIA) verifican que el proceso de induccion en puesto de trabajo se realiace de manera </t>
    </r>
    <r>
      <rPr>
        <sz val="10"/>
        <rFont val="Arial"/>
        <family val="2"/>
      </rPr>
      <t>semestral</t>
    </r>
    <r>
      <rPr>
        <sz val="10"/>
        <color theme="1"/>
        <rFont val="Arial"/>
        <family val="2"/>
      </rPr>
      <t xml:space="preserve">  mediante evaluación por puesto de trabajo para verificar las capacidades funcionales del personal asistencial en cada servicio. Si los resultados obtenidos del proceso de evlauacion fueran de "reaprobación" se concede una segunda oportunidad para ser evaluado nuevamente. El resgistro de lo actuado son las evaluaciones realizadas al personal nuevo para verificar si fue comprendida o asimilada la informacion suministrada.</t>
    </r>
  </si>
  <si>
    <r>
      <t xml:space="preserve"> El profesional  de calidad   (seguridad del paciente) verifica trimestralmente mediante listas de chequeo, la adherencia a las Guías de Colaspco materno (Codigo Rojo, Crisis hipertensiva, sepsis  y atención integral del parto) sobre las historias clínicas</t>
    </r>
    <r>
      <rPr>
        <sz val="10"/>
        <rFont val="Arial"/>
        <family val="2"/>
      </rPr>
      <t xml:space="preserve"> y la oportunidad en la toma e interpretacion de resultados de laboratorio </t>
    </r>
    <r>
      <rPr>
        <sz val="10"/>
        <color theme="1"/>
        <rFont val="Arial"/>
        <family val="2"/>
      </rPr>
      <t xml:space="preserve">quedando registro de este control en los formatos GUO-F-25, GUO-F-27 y GUO-F-28 </t>
    </r>
    <r>
      <rPr>
        <sz val="10"/>
        <color rgb="FFFF0000"/>
        <rFont val="Arial"/>
        <family val="2"/>
      </rPr>
      <t>.</t>
    </r>
    <r>
      <rPr>
        <sz val="10"/>
        <color theme="1"/>
        <rFont val="Arial"/>
        <family val="2"/>
      </rPr>
      <t xml:space="preserve"> Lo anterior es retroalimentado al equipo interdisciplinario de la unidad de obstetricia para lo cual queda acta de socializacion del informe como control  preventivo de los sucesos no deseables.  El acta es remitida al lider del proceso Gestion de Urgencias y Obstetricia para que haga el chequeo cruzado con el seguimiento interno  que se frealiza en su proceso  y  presente el informe respectivo como evidencia a su riesgo.  </t>
    </r>
  </si>
  <si>
    <t xml:space="preserve"> El personal de  enfermería verifica a la entrada de la paciente al servicio de sala de partos, su estado de salud por medio de formato hoja de alerta temprana obstetrica  (GUO-F-52) la toma del monitoreo con las pacientes que tiene 30 o mas semanas de gestación, y en el posparto , el control de signos vitales en formato denominado Seguimiento activo del posparto( GUO- F-05) para la madre y el recien nacido con el fin de identificar los riesgos maternos.La evidencia de este control serán los registros en el formato anteriormente mencionados. Los cuales son remitidos al lider del proceso GUO para la consolidacion de su informacion.
Los hallazgos  deben  ser socializado mensualmente en reunion de autocontrol, realizando  sensibilizacion  frente a  la importancia del diligenciamiento completo  de los formatos, valores normales y cuando los valores generan una alerta tanto en la madre como en el recien nacido,  la cual debe ser reportada oportunamente para evitar la materializacion del riesgo ( codigo rojo)</t>
  </si>
  <si>
    <t xml:space="preserve">*Documento de solicitud
 de compra
* Trazabilidad del pedido y respuesta del area de almacen hasta materializar su compra y que se garantice un atril por paciente. 
</t>
  </si>
  <si>
    <t xml:space="preserve">Informes de medición de adherencia  y listas de chequeo. 
</t>
  </si>
  <si>
    <t>Resgistros de revision de muestras y el número del reporte del evento.</t>
  </si>
  <si>
    <t xml:space="preserve"> Formato de analisis de Controles.</t>
  </si>
  <si>
    <t xml:space="preserve"> Solicitudes realizadas por parte del encargado de cada seccion del laboratorio.</t>
  </si>
  <si>
    <t>Consistente
aporta evidencias</t>
  </si>
  <si>
    <t>Moderado
aportra evidencias</t>
  </si>
  <si>
    <t>Debíl
aporta evidencias</t>
  </si>
  <si>
    <t>Debíl
No aporta evidencias</t>
  </si>
  <si>
    <t xml:space="preserve">*Informe trimestral evolucion  de cumplimiento.
*actas de seguimiento y soportes de socializaciones. </t>
  </si>
  <si>
    <t xml:space="preserve">*Informe de cumplimiento al segumiento mensual de cargue documental.
* pantallazos de correos de alerta a cada area.
  *actas de seguimiento y soportes de socializaciones . </t>
  </si>
  <si>
    <t xml:space="preserve">Crear e implementar un formato  de respaldo al sistema de informacion  para cuando se realicen planes de mejora.  </t>
  </si>
  <si>
    <t>*Correos electrónicos enviados a los servicios implicados.
* registro de los tiempos de respuesta cargados en el modulo de satisfaccion de daruma.
 * monitoreo realizado a través del indicador de oportunidad de PQR.
* informes de SIAU retroalimentados a los lideres</t>
  </si>
  <si>
    <t>*Informe de novedades recibidas  por grupo de whatsapp de parte de las diferentes áreas y/o servicios de la institución.
 *retroalimenta en reuniones de autocontrol con su equipo para actualizarlos e identificar las fallas existentes 
 *hacer las accines correctivas necesarias.</t>
  </si>
  <si>
    <t>El jefe de enfermeria de  turno realizará  la supervicion semanal de la aplicación de medicamentos en un horario aleatorio para los pacientes  hospitalizados en cada servicio</t>
  </si>
  <si>
    <t>El jefe de enfermeria de  turno realizara  la supervicion semanal de la aplicación de medicamentos en un horario aleatorio para los pacientes  hospitalizados en cada servicio</t>
  </si>
  <si>
    <t xml:space="preserve">El coordinador, lider y/o jefes de enfermeria del servicio realizan Socializacion semestral de protocolos:
*  protocolo prevencion de Caidas
</t>
  </si>
  <si>
    <t>El jefe de enfermeria de  turno realizara  la supervicion semanal aleatorea  en el cumplimiento y adherencia al protocolo de prevencion de caidas, mediante formato lista de verificacion prevencion de caidas  para los pacientes  hospitalizados en el servicio</t>
  </si>
  <si>
    <t>El coordinador, lider y/o jefes de enfermeria del servicios realizan Socializacion semestral de protocolos:
* Administracion de  medicamentos 
* Identificacion redundante de Pacientes.</t>
  </si>
  <si>
    <t xml:space="preserve"> El coordinador, lider y/o jefes de enfermeria del servicios realizan Socializacion semestral de protocolos:
*protocolo  de prevencion y accion ante una fuga.</t>
  </si>
  <si>
    <t xml:space="preserve">
 El coordinador, lider y/o jefes de enfermeria del servicios realizan Socializacion semestral de protocolos:
*  protocolo prevencion de Caidas
</t>
  </si>
  <si>
    <t>El jefe de enfermeria de cada  turno realizara  la supervicion aleatorea  en el cumplimiento y adherencia al protocolo de administracion de medicamentos en un horario aleatorio para los pacientes  hospitalizados en el servicio</t>
  </si>
  <si>
    <t>El jefe de enfermeria de cada turno realizara  la supervicion aleatorea en el cumplimiento y adherencia al protoco identificacion redundantes de pacientes, para los pacientes hospitalizados en el servicio</t>
  </si>
  <si>
    <t xml:space="preserve">
El jefe de enfermeria de turno realizara  la supervicion aleatorea en el cumplimiento y adherencia al protoco:
* Administracion de  medicamentos 
* Identificacion redundante de Pacientes, para los pacientes hospitalizados en el servicio</t>
  </si>
  <si>
    <t xml:space="preserve">.
El jefe de enfermeria de  turno realizara  la supervicion aleatorea en el cumplimiento y adherencia al Manual toma de Muestras LC-M- 02, para los pacientes hospitalizados en el servicio, Mediante la aplicación del formato lista de verificacion de toma de muestra sanguinea LC-F-167 </t>
  </si>
  <si>
    <t xml:space="preserve"> El medico de triage o quien haga sus veces verifica en cada paciente las condiciones que según la resolución 5596 de 2015 se constituyen en criterios de clasificación de prioridad, dejando registro de justificación de la clasificación realizada en anexo de HC de triage.</t>
  </si>
  <si>
    <t>El subgerente cientifico con los auditores de concurrencia revisan periodicamente el perfil epidemiologico para determinar las primeras 5 causas de egreso hospitalario</t>
  </si>
  <si>
    <t xml:space="preserve">
El subgerente cientifico  con  Auditoria de concurrecia  Trimstralmente verifica la adherencia  a las GPC a través de   evaluaciónes de minimo 15  historias clinicas  de pacientes  con diagnostico de las 5 primeras causas de egreso hospitalario, realizando socializacion de las desviaciones obtenidas  y presentando un informe   al comite de Historias Clinicas. 
</t>
  </si>
  <si>
    <t xml:space="preserve"> Informe de los registros en los formatos GUO-F-52,  GUO- F-05</t>
  </si>
  <si>
    <r>
      <rPr>
        <b/>
        <sz val="10"/>
        <color theme="1"/>
        <rFont val="Arial"/>
        <family val="2"/>
      </rPr>
      <t xml:space="preserve">
</t>
    </r>
    <r>
      <rPr>
        <sz val="10"/>
        <color theme="1"/>
        <rFont val="Arial"/>
        <family val="2"/>
      </rPr>
      <t xml:space="preserve">   formato GPT-F-49 -Lista de chequeo de transfusión de hemocomponentes para médicos y personal de enfermería.</t>
    </r>
  </si>
  <si>
    <t xml:space="preserve"> Los bacteriólogos del Servicio Transfusional  cada vez que se solicita una transfusión, verificarán el cumplimiento de  la lista de chequeo de transfusion de hemocomponentes para medicos y personalo de enfermería, con el fin de controlar los puntos críticos desde el momento de la solicitud de transfusión, hasta la entrega del hemocomponente e inicio de la transfusión, evidencia de esto será el diligenciamiento completo del formato GPT-F-49 para cada uno de los receptores. En caso de llegarse a materializar el riesgo se suspenderá la transfusión en cualquiera de sus etapas, se realizará reporte del evento adverso y en caso de presentarse RAT, se llevará a cabo el proceso de reporte y análisis del mismo, de igual manera se llevará el caso a estudio en el comité Transfusional y el comité de Seguridad del Paciente.         </t>
  </si>
  <si>
    <t>Constancia de reporte del Infome mensual.</t>
  </si>
  <si>
    <t xml:space="preserve">Moderado
aportra evidencias
incompletas </t>
  </si>
  <si>
    <t>SI, Incompleta</t>
  </si>
  <si>
    <t>TH-F-13  Lista de chequeo establecida Y  planes de accion del área.</t>
  </si>
  <si>
    <t xml:space="preserve">La gestora de seguridad del paciente en ucia, realiza 3 veces al mes  la aplicación de las escalas de valoracion de los principales riesgos de los pacientes (caidas, ulceras por presion, extubacion no programada, eventos embólicos) para garantizar la correcta identificacion de los riesgos presentes.. Del control realizado quedan las listas de chequeo  verificadas sobre los paciente </t>
  </si>
  <si>
    <r>
      <rPr>
        <b/>
        <sz val="10"/>
        <color theme="1"/>
        <rFont val="Arial"/>
        <family val="2"/>
      </rPr>
      <t xml:space="preserve"> 
</t>
    </r>
    <r>
      <rPr>
        <sz val="10"/>
        <color theme="1"/>
        <rFont val="Arial"/>
        <family val="2"/>
      </rPr>
      <t>Formato CE-F-14     
 Formato CE-F-15
debidamente diligenciados.</t>
    </r>
  </si>
  <si>
    <t xml:space="preserve">MC-F-107  formato  plan
 de mejora debidamente diligenciado  </t>
  </si>
  <si>
    <t>La Oficina Asesora de Planeación realiza mesas técnicas de revisión de los contratos antes de su suscripción y aplica la lista de chequeo establecida en la Resolución 441 de 2022, con el propósito de verificar la completitud de los requisitos y asegurar que cada expediente contractual cuente con dicha lista debidamente diligenciada como evidencia del cumplimiento normativo.</t>
  </si>
  <si>
    <t xml:space="preserve">1. Acta y Listado de asistencia de las mesas técnicas realizadas
2. Formato lista de chequeo resolución 441 de 2022 debidamente diligenciado. 
3. Expediente físico y/o digital del contrato con lista de chequeo adjunta </t>
  </si>
  <si>
    <t>Posibilidad de que los informes de auditoría interna carezcan de objetividad, imparcialidad y rigor técnico, lo que puede comprometer la confiabilidad de sus resultados y limitar la toma de decisiones correctivas, como consecuencia de la influencia de intereses particulares, conflictos de interés o presión institucional sobre los auditores, debido a la inexistencia de garantías de independencia funcional, falta de controles sobre la integridad del proceso auditor y debilidades en la aplicación de estándares técnicos y éticos de auditoría.</t>
  </si>
  <si>
    <t>Este riesgo se origina por la falta de mecanismos que aseguren la independencia y autonomía del equipo auditor, la inexistencia de controles sobre conflictos de interés, ausencia de rotación periódica de auditores, y presión directa o indirecta por parte de áreas auditadas. También influyen la debilidad en la formación ética del personal auditor, la carencia de protocolos formales para garantizar la objetividad y la falta de seguimiento por parte de entes externos o comités de auditoría.</t>
  </si>
  <si>
    <t>1. Informes sesgados que no reflejan adecuadamente los riesgos y hallazgos reales.
2. Falta de acciones correctivas o decisiones institucionales mal fundamentadas.
3. Pérdida de credibilidad en el sistema de control interno.
4. Aumento de los riesgos operativos y financieros por falta de alertas oportunas.
5. Hallazgos reiterados por entes externos que no fueron abordados oportunamente.
6. Posible responsabilidad disciplinaria o legal del auditor o de la entidad.</t>
  </si>
  <si>
    <t>El asesor de Control Interno elabora un informe semestral de seguimiento al SARLAFT, con el fin de evaluar la eficacia de los controles implementados, identificar desviaciones en su aplicación y establecer planes de mejora orientados a fortalecer la gestión del riesgo de Lavado de Activos y Financiación del Terrorismo. La evidencia de esta actividad corresponde al informe consolidado y los planes de acción derivados del mismo</t>
  </si>
  <si>
    <t>Informe de seguimiento semestral</t>
  </si>
  <si>
    <t>Posibilidad de que se suscriban contratos para la prestación de servicios de salud sin cumplir con los requisitos mínimos exigidos en el Decreto 441 de 2022, comprometiendo la legalidad, calidad y trazabilidad de los procesos contractuales, como consecuencia de omisiones en la revisión documental o desconocimiento de los lineamientos normativos aplicables, debido a deficiencias en la articulación entre las áreas técnica, jurídica y administrativa, falta de capacitación en la norma y ausencia de controles previos estandarizados.</t>
  </si>
  <si>
    <t xml:space="preserve">Ausencia de listas de verificación alineadas con el Decreto 441 de 2022, la falta de apropiación normativa por parte de los funcionarios responsables, debilidad en los mecanismos de revisión y aprobación documental antes de la suscripción contractual, y la carencia de procedimientos formales que garanticen el cumplimiento de los requisitos mínimos habilitantes. También influye la falta de capacitación periódica y la presión institucional para avanzar con procesos sin validación completa.
</t>
  </si>
  <si>
    <t>1. Incumplimiento normativo que puede derivar en sanciones administrativas o contractuales.
2. Afectación a la calidad, oportunidad y continuidad en la prestación de los servicios de salud.
3. Riesgos legales por nulidad, demandas o reclamaciones por parte de usuarios o contratistas.
4. Hallazgos por parte de entes de control como la Supersalud, Contraloría o Procuraduría.
5. Deterioro de la confianza en los procesos institucionales y en la gestión del talento humano.
6. Reprocesos administrativos y afectación a la planeación de servicios.</t>
  </si>
  <si>
    <t>Posibilidad de que la entidad, a través de sus procesos operativos, contractuales, financieros o asistenciales, sea utilizada como vehículo para ocultar, legitimar o facilitar operaciones relacionadas con el Lavado de Activos y/o la Financiación del Terrorismo (LA/FT), comprometiendo su integridad institucional, como consecuencia de fallas en los controles de debida diligencia, monitoreo y análisis de operaciones, debido a una implementación deficiente del SARLAFT, debilidades en la cultura de cumplimiento y falta de articulación entre las áreas responsables de prevenir estos riesgos.</t>
  </si>
  <si>
    <t>Falta de  aplicación inadecuada o superficial de los procedimientos establecidos en el SARLAFT, deficiencias en los mecanismos de identificación y conocimiento de terceros (clientes, proveedores, contratistas), ausencia de análisis y reporte efectivo de operaciones inusuales o sospechosas, y escaso monitoreo de procesos críticos donde podrían presentarse riesgos de LA/FT. También influye la limitada formación del personal frente a los lineamientos normativos, la falta de tecnología para la trazabilidad y la débil gestión del riesgo interdependencial.</t>
  </si>
  <si>
    <t>1. Utilización de la entidad como canal para actividades ilícitas.
Sanciones administrativas, disciplinarias o penales por parte de autoridades de control.
2. Pérdida de credibilidad y afectación de la imagen institucional.
Hallazgos negativos en auditorías SARLAFT o visitas de inspección.
3. Riesgo reputacional elevado ante entidades del sector salud y financiero.
4. Inclusión en listas de entidades con deficiente gestión del riesgo LA/FT.
5. Dificultades para establecer alianzas interinstitucionales o acceder a recursos.</t>
  </si>
  <si>
    <t>Posibilidad de que se presenten actos de tráfico de influencias dentro de la E.S.E., afectando la imparcialidad en la toma de decisiones administrativas, asistenciales o contractuales, como consecuencia de presiones internas o externas ejercidas por personas con poder o relaciones jerárquicas para favorecer intereses particulares, debido a la falta de controles efectivos contra conflictos de interés, ausencia de mecanismos de denuncia seguros y deficiencias en la cultura organizacional en materia de ética, integridad y transparencia.</t>
  </si>
  <si>
    <t>Este riesgo se origina por la inexistencia o inadecuada aplicación de políticas de prevención de conflictos de interés, falta de independencia en algunos roles decisorios, ausencia de canales eficaces y protegidos para reportar irregularidades, y debilidad en la formación ética del personal. Además, influye la permisividad institucional frente a prácticas indebidas, la falta de seguimiento a denuncias y la escasa trazabilidad en los procesos que involucran decisiones sensibles.</t>
  </si>
  <si>
    <t>1. Toma de decisiones parcializadas o injustas, que afectan la equidad institucional.
2. Pérdida de credibilidad y legitimidad de la E.S.E. ante funcionarios, usuarios y entes de control.
Favorecimiento indebido de personas, proveedores o contratistas.
3. Afectación a la moral interna del personal por la percepción de privilegios o favoritismos.
4. Dificultades para garantizar transparencia en procesos de selección, contratación o promoción.
5. Posibles hallazgos por organismos de control y sanciones disciplinarias o penales.
6. Deterioro de la cultura ética institucional.</t>
  </si>
  <si>
    <t>El área de Talento Humano socializa periodicamente el Código de Integridad a través de los diferentes medios de difusión institucional, con el fin de promover los valores éticos que orientan el comportamiento de los servidores públicos y fortalecer la cultura de integridad en la entidad.</t>
  </si>
  <si>
    <t xml:space="preserve">*Acta de socialización,
* Lista de asistencia
 MC-F-03 </t>
  </si>
  <si>
    <t xml:space="preserve">Registro que evidencie la realizacion de la induccion y reinduccion </t>
  </si>
  <si>
    <t>Registro que evidencie la realizacion de  la induccion y reinduccion.</t>
  </si>
  <si>
    <t>Posibilidad de que se utilice de forma indebida la información confidencial de la E.S.E. o se manipulen datos institucionales con fines personales o para beneficiar a terceros, lo cual puede comprometer la veracidad de la información, la transparencia en la gestión y la confianza de los actores internos y externos, como consecuencia de la apropiación no autorizada o distorsión de datos estratégicos, debido a la falta de controles eficaces sobre el acceso y uso de la información, ausencia de protocolos de confidencialidad y posibles incentivos o presiones externas que afectan la integridad de los funcionarios.</t>
  </si>
  <si>
    <t>Debilidad de los controles de acceso a la información institucional, la inexistencia de mecanismos efectivos de supervisión, la falta de cultura de protección de datos sensibles y la escasa implementación de políticas de ética y transparencia. Adicionalmente, influye la inexistencia de sanciones ejemplarizantes ante conductas indebidas, la omisión de declaraciones de conflicto de interés y la posibilidad de que algunos funcionarios reciban beneficios personales (dádivas) a cambio de alterar o divulgar información institucional.</t>
  </si>
  <si>
    <t>Pérdida de confianza por parte de usuarios, entes de control y ciudadanía.
Distorsión en la toma de decisiones por uso de información manipulada.
Vulneración de la integridad y legalidad de los procesos administrativos.
Posibles investigaciones disciplinarias, fiscales o penales.
Afectación reputacional para la E.S.E. y sus directivos.
Dificultad para garantizar la transparencia, equidad y trazabilidad institucional.</t>
  </si>
  <si>
    <t>Capacitación semestral  al personal de toda la ESE</t>
  </si>
  <si>
    <t>Acta del Comité de Conducta y buen Gobierno</t>
  </si>
  <si>
    <t>El área de Talento humano con el apoyo del area Contratación implementan acuerdos de confidencialidad con empleados, contratistas y terceros que intervienen en la ejecución de actividades institucionales, con el fin de proteger la información sensible y estratégica del Hospital Departamental María Inmaculada E.S.E., prevenir su uso indebido o divulgación no autorizada, y asegurar su tratamiento conforme a las normas legales vigentes sobre confidencialidad y protección de datos personales. Estos acuerdos hacen parte integral de los expedientes contractuales o laborales y constituyen una medida preventiva para mitigar riesgos asociados al acceso y manejo de información institucional.</t>
  </si>
  <si>
    <t>Acuerdos de Confidencialidad debidamente diligenciados</t>
  </si>
  <si>
    <t>Capacitación semestral en el manejo de la información de la ESE</t>
  </si>
  <si>
    <t>El área de Talento Humano realiza capacitaciones semestrales al personal responsable sobre la custodia y manejo adecuado de la información, con el objetivo de garantizar el cumplimiento de los principios de confidencialidad, integridad y seguridad de los datos institucionales</t>
  </si>
  <si>
    <t>El área de Talento Humano capacita semestralmente a los colaboradores de la ESE al menos una vez al año en temas relacionados con la prevención de la corrupción, con el propósito de fortalecer la integridad institucional, promover conductas éticas y reducir el riesgo de prácticas indebidas en el ejercicio de sus funciones</t>
  </si>
  <si>
    <t>Posibilidad de que funcionarios o colaboradores de la entidad reciban incentivos, beneficios o dádivas por parte de proveedores, lo cual puede generar conflictos de interés, comprometer la imparcialidad en los procesos de adquisición y contratación, afectar la transparencia institucional y favorecer decisiones que no respondan al interés general, como consecuencia de la influencia indebida de intereses particulares en los procesos contractuales, debido a la ausencia de controles efectivos sobre conflictos de interés, falta de cultura ética organizacional y deficiencias en los mecanismos de denuncia y prevención de prácticas corruptas.</t>
  </si>
  <si>
    <t>Inexistencia o aplicación débil de políticas de gestión de conflictos de interés, ausencia de mecanismos sistemáticos para declarar y gestionar relaciones con terceros, y deficiencias en los procesos de supervisión y auditoría interna. También influyen la falta de canales de denuncia confidenciales, la escasa cultura institucional frente a la ética pública, y la limitada capacitación del personal sobre integridad, responsabilidad y prevención de actos indebidos.</t>
  </si>
  <si>
    <t>1. Adjudicación de contratos con criterios subjetivos o no justificados.
2. Afectación a la transparencia y legalidad de los procesos contractuales.
3. Pérdida de confianza por parte de entes de control, ciudadanía y proveedores legítimos.
4. Riesgo de sanciones disciplinarias, fiscales o penales para los responsables.
5. Distorsión de la competencia y debilitamiento del principio de igualdad de condiciones.
6. Hallazgos en auditorías externas por prácticas irregulares o favoritismo.</t>
  </si>
  <si>
    <t>El área de Talento Humano, Contratación y Almacen diligencian la declaración de conflicto de intereses y declaración de bienes y rentas de manera previa al inicio de los procesos contractuales, con el fin de garantizar la transparencia, prevenir situaciones que comprometan la imparcialidad en la toma de decisiones y asegurar el cumplimiento de los principios de la función pública.  conflictos que puedan afectar la objetividad en el ejercicio de sus funciones y fortalecer la transparencia en la gestión pública.</t>
  </si>
  <si>
    <t>Ausencia de mecanismos de control sobre los equipos y accesorios biomédicos por parte del personal de los servicios asistenciales
Falta de cultura organizacional frente a la responsabilidad sobre los bienes institucionales.</t>
  </si>
  <si>
    <t>1. Interrupciones en la prestación de servicios de salud.
2. Afectación a la calidad y seguridad de la atención al paciente.
3. Pérdida de activos institucionales.
4. Mayor carga operativa para el área de biomédica y mantenimiento.
5. Posibles hallazgos en auditorías internas o externas.
6. Deterioro de la confianza institucional.</t>
  </si>
  <si>
    <t>Los profesionales del área de Biomédica realizan semanalmente la verificación del inventario y funcionamiento de los equipos biomédicos en los distintos servicios asistenciales, con el fin de corroborar su existencia y operatividad. En caso de detectar la ausencia o falla de algún equipo, se realiza el reporte inmediato al área de Recursos Físicos, la cual a su vez informa a Control Interno para su seguimiento. Esta actividad queda documentada en el formato RF-F-91: Rondas de Seguridad y de Control y Verificación de Equipos Biomédicos.</t>
  </si>
  <si>
    <t>Los profesionales del área de Biomédica realizan seguimiento a los movimientos de equipos biomédicos cada vez que se trasladan al área de mantenimiento Biomedico, con el fin de mantener el control sobre su ubicación y trazabilidad. Las salidas y entradas se registran en el Formato Único para Movimientos de Activos Fijos RF-F-92</t>
  </si>
  <si>
    <t>Reporte por parte del personal del area biomédica certificando la 
realización del seguimiento de los trasladosde los equipos biomédicos, mediante el formato unico para movimientos de activos fijos RF-F-92</t>
  </si>
  <si>
    <t>Reporte por parte del personal del area biomédica certificando la 
realización de las 
Rondas de seguridad, control y verificación de equipos biomédicos. 
consignadas en el  formato 
RF-F-91</t>
  </si>
  <si>
    <t>El área de Talento Humano con el apoyo del área de sistemas  y / o comunicaciones implementan mensajes institucionales de sensibilización sobre la prevención de actos de corrupción, proyectados de manera continua a través de los protectores de pantalla de los equipos de cómputo institucionales, con el fin de fomentar una cultura organizacional basada en la ética, la transparencia y el rechazo a la corrupción.</t>
  </si>
  <si>
    <t xml:space="preserve">Formato de Declararios de conflicto de interes  y declaración de bienes y rentas  debidamente diligenciados </t>
  </si>
  <si>
    <t>Posibilidad de generar evento adverso o incidente asociado a  mal funcionamiento  de la teconología y equipos biomédicos de la institución</t>
  </si>
  <si>
    <t xml:space="preserve"> Posibilidad de apoderamiento indebido o perdida de equipos y accesorios biomédicos  por parte del personal y/o usuarios, debido a deficiencias en los mecanismos de control sobre los activos fijos. La perdida o ausencia de los mismos afecta la continuidad y calidad de la atención en los servicios de salud.</t>
  </si>
  <si>
    <t>Posibilidad que la entidad sea objeto de sanciones legales, pérdida de credibilidad institucional o utilización como canal para operaciones de lavado de activos y financiación del terrorismo, como consecuencia de un cumplimiento deficiente de los procedimientos establecidos para su prevención, debido a falencias en la implementación efectiva del SARLAFT, escaso monitoreo por parte de los responsables del sistema y limitada apropiación del riesgo por parte del personal vinculado a los procesos críticos</t>
  </si>
  <si>
    <t>El cumplimiento deficiente de los procedimientos para la prevención del lavado de activos y financiación del terrorismo obedece a una implementación parcial o inefectiva del SARLAFT dentro de los procesos institucionales. Esta situación se agrava por la falta de monitoreo y seguimiento continuo por parte de los responsables del sistema, ausencia de controles periódicos, debilidades en la articulación interdependencial y escasa apropiación del riesgo por parte del personal involucrado en áreas críticas, así como por la limitada capacitación y sensibilización frente a la normativa vigente.</t>
  </si>
  <si>
    <t>1. Pérdida de confianza institucional por parte de usuarios, proveedores y entidades de vigilancia.
2. Posible vinculación de la entidad en operaciones ilícitas que comprometan su reputación.
3. Observaciones o hallazgos en auditorías internas o externas por deficiencias en el sistema de control.
4. Deterioro de la cultura organizacional frente al cumplimiento normativo y la gestión del riesgo.
5. Afectación a la credibilidad y sostenibilidad institucional a largo plazo.</t>
  </si>
  <si>
    <t>El profesional jefe de Almacén verifica, antes de perfeccionar cada orden de compra, que las personas naturales o jurídicas involucradas no se encuentren relacionadas en listas restrictivas o vinculantes asociadas al riesgo de Lavado de Activos y Financiación del Terrorismo (LA/FT), con el fin de prevenir vínculos con actores ilícitos. En caso de detectar coincidencias, se suspende de inmediato el proceso de compra y se reporta a las instancias correspondientes para su análisis.</t>
  </si>
  <si>
    <t>El jefe de Almacén confronta la información diligenciada en los formularios de conocimiento del cliente, proveedor o contratista, recolectados en el marco del SARLAFT, con la información comercial y financiera contenida en los expedientes contractuales, con el fin de identificar inconsistencias o señales de alerta. La constancia de esta revisión se deja mediante la firma en el Formato de Conocimiento del Proveedor, Contratista y Cliente</t>
  </si>
  <si>
    <t>Posibles irregularidades en los procesos de adquisición de bienes o servicios con proveedores, lo cual puede generar sobrecostos, deficiencias en la calidad de los productos adquiridos, conflictos de interés y afectación a los principios de transparencia, equidad y libre competencia, como consecuencia de decisiones contractuales inadecuadas, direccionamiento indebido o falta de controles efectivos en la etapa precontractual, debido a deficiencias en la planeación, evaluación, seguimiento y supervisión de los procesos de contratación, así como debilidad en la gestión de riesgos asociados a los proveedores</t>
  </si>
  <si>
    <t xml:space="preserve">1. Aumento injustificado en los costos de adquisición.
2. Recepción de bienes o servicios de baja calidad o que no cumplen con las especificaciones.
3. Posibles sanciones disciplinarias o fiscales por irregularidades contractuales.
4. Pérdida de confianza institucional por parte de la ciudadanía y entes de control.
5. Hallazgos en auditorías internas o externas.
</t>
  </si>
  <si>
    <t>Las áreas de almacen  y Contratacion implementan y fortalecen las medidas de control en los procesos de adquisición de bienes y servicios, con el fin de garantizar la legalidad, transparencia y eficiencia en la gestión contractual, así como prevenir riesgos de corrupción y desviaciones presupuestales. La evidencia de este control se soporta en las listas de chequeo utilizadas, los informes de revisión precontractual y los registros documentales de los expedientes contractuales debidamente conformados.</t>
  </si>
  <si>
    <t>Certificación de los contratos y/o ordenes de compra suscritos en el periodo objeto de medición donde se certifique por parte del responsable la debida etapa pre-contractual</t>
  </si>
  <si>
    <t xml:space="preserve">
*Posibilidad de que se presenten hurtos y/o faltantes de activos muebles y/o bienes evidenciados en el levantamiento y actualizaciòn de los inventarios por parte de las areas y/o por parte del personal vinculado a la E.S.E., lo que puede ocasionar afectaciòn en el area contable y deteriorar la confianza en los mecanismos internos de control, como consecuencia de la apropiación indebida de bienes institucionales.
</t>
  </si>
  <si>
    <t>Falta de conocimiento de los procedimientos y procesos institucional, deficiencias en los procedimientos de asignación y seguimiento de bienes, ausencia de inventarios actualizados y mecanismos de trazabilidad, así como por debilidad en la supervisión y control sobre los responsables del manejo de activos. 
Escasa cultura organizacional frente al cuidado de los recursos públicos y la limitada capacidad de respuesta ante irregularidades detectadas..</t>
  </si>
  <si>
    <t xml:space="preserve">1, Pérdida de activos fijos en la instituciòn y/o centros de salud adscrtios del HDMI 
2, Falta de inventarios actualizados con el resposanble pertinente.
3, Falta de cultura y autocontroles por parte de los responsables de los inventarios de activos fijos del HDMI. 
4, Posibles procesos disciplinarios y sanciones disciplinarias de acuerdo al caso evidenciado 
</t>
  </si>
  <si>
    <t>El área de Activos Fijos realiza actualizaciòn, revision de los actvivos fijos que estan a cargo de los responsables de las diferentes areas y/o servicios. Este se debe hacer cada vez que se cambie el RESPONSABLE con el fin de verificar la existencia física versus el sistema de Dinamica gerencial.</t>
  </si>
  <si>
    <t>El área de Activos Fijos, realizarà actualizaciòn de inventarios de activos fijos de acuerdo a la necesidad desde la proyecciòn de cronograma y circular emitida desde la gerencia, este se desarrollara cuando se realice de forma masiva la actualizaciòn por areas y/o dependencias.</t>
  </si>
  <si>
    <t>El área de Activos Fijos realizara las actualizaciones de los inventarios junto con el formato de acta No.MC-F-12, este sera cargado en DARUMA como soporte y evidencia de la actividad, en esta acta se describe todas las novedades encontradas, igualmente evidencias fotograficas del desarrollo del mismo.</t>
  </si>
  <si>
    <t>Acta de inventario Anual</t>
  </si>
  <si>
    <t>Inventarios selectivos y periodicos de activos fijos e inventarios y ordenes de traslado</t>
  </si>
  <si>
    <t xml:space="preserve">las actualizaciones de los inventarios junto con el formato de acta No.MC-F-12, </t>
  </si>
  <si>
    <t>El riesgo se origina por la recepción de pagos en efectivo sin aplicar mecanismos eficaces de verificación de la procedencia de los recursos, sumado a la ausencia de políticas claras para el control de operaciones con riesgo de LA/FT, debilidades en la implementación del SARLAFT en el proceso de recaudo y deficiente articulación entre las áreas financieras, administrativas y de control. También influye la falta de capacitación del personal en la detección de señales de alerta relacionadas con operaciones inusuales.</t>
  </si>
  <si>
    <t>1. Imposición de sanciones administrativas, fiscales o penales por parte de autoridades de control.
2. Riesgo de que la entidad sea utilizada como canal para operaciones ilícitas.
3. Deterioro de la imagen institucional y pérdida de confianza por parte de usuarios y entes reguladores.
4. Hallazgos en auditorías internas y externas.
Posible inclusión en listas de entidades con debilidades en la gestión del riesgo LA/FT.
5. Afectación al cumplimiento normativo y reputación del sector salud.</t>
  </si>
  <si>
    <t>El jefe de Tesorería verifica la existencia de transacciones en efectivo realizadas por una misma persona natural o jurídica, que en un solo día sean iguales o superiores a cinco millones de pesos ($5.000.000) M/CTE, o que en su conjunto mensual igualen o superen veinticinco millones de pesos ($25.000.000) M/CTE o su equivalente en otras monedas, con el fin de detectar operaciones inusuales que puedan representar riesgo de lavado de activos. El soporte de esta verificación se evidencia mediante las certificaciones expedidas por el área para la Oficina Asesora de Planeación.</t>
  </si>
  <si>
    <t>Posibles deficiencias o irregularidades en la legalización de cajas menores, lo que podría derivar en la falta de soporte adecuado para los gastos, mal uso de los recursos, incumplimiento de la normativa financiera y afectar la transparencia y la rendición de cuentas institucional.</t>
  </si>
  <si>
    <t>Posible desvío de recursos de la caja menor del HDMI por parte de funcionarios y colaboradores mediante la presentación de soportes inconsistentes o falsos, lo que genera pérdida de recursos y falta de transparencia en la gestión financiera.
Falta de controles efectivos sobre el uso y la justificación de los recursos de la caja menor, lo que facilita el uso indebido de fondos</t>
  </si>
  <si>
    <t>Sanciones a funcionarios o colabores en materia disciplinaria, fiscales y penales.</t>
  </si>
  <si>
    <t>El área de Tesorería realiza el arqueo de la caja menor de forma mensual, con el fin de verificar la disponibilidad física de los recursos, la correcta ejecución y legalidad de los gastos menores, así como la coherencia entre los registros contables, los comprobantes de pago y los soportes documentales. Esta actividad permite detectar posibles inconsistencias, garantizar la transparencia en el manejo de fondos y fortalecer los controles financieros internos del Hospital Departamental María Inmaculada E.S.E</t>
  </si>
  <si>
    <t>Acta de Arqueo de Caja</t>
  </si>
  <si>
    <t>Posibilidad de que se presenten inconsistencias contables y financieras que afecten la recuperación efectiva de ingresos por prestación de servicios de salud, como consecuencia de la no coincidencia entre la información de cartera institucional y los valores reportados por las Empresas Responsables de Pago (ERP), debido a deficiencias en los procesos de conciliación, seguimiento y validación de cartera, así como a la falta de articulación entre las áreas administrativas, financieras y de facturación.</t>
  </si>
  <si>
    <t>Ausencia de procedimientos sistemáticos y oportunos de conciliación de cartera con las ERP, debilidades en el control y actualización de los saldos registrados, errores en la codificación o validación de soportes de facturación y fallas en la comunicación interinstitucional. También incide la carencia de herramientas tecnológicas adecuadas para la gestión automatizada de la cartera y la falta de seguimiento efectivo por parte de los responsables del proceso.</t>
  </si>
  <si>
    <t>1. Dificultades en la recuperación de cartera y pérdida de ingresos institucionales.
2. Aumento del riesgo de prescripción de cuentas por cobrar.
3. Observaciones o hallazgos por parte de auditorías internas y externas.
4. Afectación a la liquidez y sostenibilidad financiera de la entidad.
5. Prolongación de los tiempos de respuesta en conciliaciones con las ERP.
6. Pérdida de confianza por parte de las entidades pagadoras y de control.</t>
  </si>
  <si>
    <t>El técnico de Cartera realiza trimestralmente conciliaciones con las entidades responsables de pago, con el fin de verificar el estado real de la cartera, acordar los valores a pagar por concepto de facturación y establecer compromisos para resolver novedades detectadas. La constancia de esta actividad queda registrada en las actas firmadas por las partes intervinientes.</t>
  </si>
  <si>
    <t>Posibilidad de que se generen sanciones fiscales, reprocesos contables o pagos indebidos, que afecten la gestión financiera de la entidad, como consecuencia de la liquidación incorrecta de las retenciones y deducciones tributarias aplicadas en las cuentas por pagar, debido a errores en la interpretación normativa, fallas en los sistemas de liquidación automática y deficiencias en la validación previa al giro por parte del personal encargado</t>
  </si>
  <si>
    <t>La liquidación incorrecta de las retenciones y deducciones tributarias en las cuentas por pagar se origina en la falta de actualización normativa por parte del personal responsable, debilidades en los controles automatizados de los sistemas contables, ausencia de revisión previa por una segunda instancia técnica y carencia de procedimientos estandarizados que garanticen la aplicación correcta de los conceptos tributarios exigidos por ley</t>
  </si>
  <si>
    <t>1. Sanciones fiscales o requerimientos por parte de la DIAN u otros entes de control.
2. Pagos indebidos a terceros o al Tesoro Nacional.
3. Reprocesos administrativos que afectan la eficiencia financiera.
4. Pérdida de recursos públicos por errores no detectados oportunamente.
5. Afectación en la confiabilidad de la información contable y tributaria.
6. Observaciones en auditorías financieras y tributarias</t>
  </si>
  <si>
    <t>El profesional del área de Contabilidad verifica, en cada cuenta por pagar, la correcta liquidación de las retenciones y deducciones tributarias, con el fin de detectar posibles errores. En caso de inconsistencias, la cuenta es devuelta al área de origen para su corrección y los hallazgos se registran en el módulo de entrega de cuentas por pagar como evidencia del control realizado.</t>
  </si>
  <si>
    <t>Posibilidad de que se generen glosas, devoluciones o disminución de ingresos para la entidad, afectando la sostenibilidad financiera y la oportunidad en el recaudo, como consecuencia de errores en la facturación de los servicios de salud prestados, debido a fallas en el diligenciamiento de registros, omisiones en la validación de soportes y debilidades en los procesos de revisión y control previo al envío de las facturas a las Empresas Responsables de Pago (ERP)</t>
  </si>
  <si>
    <t>El Oficial de Cumplimiento realiza trimestralmente la verificación de la implementación de los procedimientos definidos en el Manual SARLAFT en las áreas de Talento Humano, Contratación, Almacén y Tesorería, con el fin de asegurar su correcta aplicación y dejar constancia de los resultados obtenidos a través del informe trimestral de seguimiento al sistema.SARLAFT y estableciendo planes de mejora ante las desviaciones encontradas.</t>
  </si>
  <si>
    <t xml:space="preserve"> Posibilidad de Perdida de los recursos recaudados en el día por venta de servicios </t>
  </si>
  <si>
    <t xml:space="preserve">Informe de fondos diarios, 
copia de memorando cuando aplique </t>
  </si>
  <si>
    <t>7.Riesgo de corrupcion opacidad y fraude 
(SICOF)</t>
  </si>
  <si>
    <t>Programa de transparencia y etica empresarial
(PTEE)</t>
  </si>
  <si>
    <t xml:space="preserve">*Los errores en la facturación de los servicios se originan en la falta de estandarización en los procesos de registro, escasa capacitación del personal encargado, debilidad en los controles de calidad y validación documental, así como en la ausencia de auditorías internas sistemáticas antes del envío de las cuentas. Además, la limitada articulación entre las áreas asistenciales, de facturación y de cartera dificulta la detección oportuna de inconsistencias.
*Subfacturacion, sobre facturacion o dejar de facturar los servicios prestados  segun el manual tarifario y contratos vigentes
*Desconocimiento de las condiciones contractuales vigentes/ normatividad vigente.
*La no aplicación de los criterios de la calidad del dato en el procedimiento de facturacion
</t>
  </si>
  <si>
    <t>1. Generación de glosas por parte de las ERP y devoluciones de facturas.
2. Disminución de ingresos institucionales y afectación a la liquidez.
3. Aumento de los tiempos de recaudo y carga operativa para los equipos de cartera.
4. Reprocesos administrativos y desgaste en la relación con las entidades pagadoras.
5. Pérdida de oportunidad para financiar operaciones y servicios esenciales.
6. Observaciones en auditorías por deficiencias en el proceso de facturación.
7. Afectacion del flujo de caja que nos entorpece el cobro efectivo de los servicios prestados</t>
  </si>
  <si>
    <t>7.Riesgo de corrupcion opacidad y fraude
 (SICOF)</t>
  </si>
  <si>
    <t>El Profesional de facturación, socializa con el equipo de facturación,la información actualizada por el asesor de planeación, cada vez que se presenten las novedades en el portafolio de servicios, en la contratación y parametrización de servicios. A través de los correos emitidos de planeacion y las comunicaciones internas que incluyen listados de recibido de la informacion impartida</t>
  </si>
  <si>
    <t xml:space="preserve"> Los auxiliares administrativos designados como facturadores revisores de cuentas, revisan las factura de los servicios prestados de manera diaria; cuando encuentran inconsistencias socializa a los facturadores responsables para realizar las correcciones antes de producir la factura definitiva. comunicaciones internas dirigidas a cada facturador y acta de socialización.</t>
  </si>
  <si>
    <t>El profesional de facturacion verifica mensualmente  los ingresos abiertos (sin legalizar) con el fin de gestionar el cierre del mismo.  Es indispensable estar a estar a paz y salvo con los hallazgos informados antes de generar el certificado de supervision para el caso del personal vinculado por contrato, con el personaL de planta se les enviará comunicación para que realicen el trámite pertinente, de no cumplir, se enviará memorando a la subgerencia administrativa y control interno disciplinario.  El registro dejado por el anterior control  son las comunicaciones enviadas y el archivo en excel de los ingresos abiertos donde relaciona el facturador que generó la salida.</t>
  </si>
  <si>
    <t xml:space="preserve">
Comunicaciones internas dirigidas a los colaboradores con la relación de las facturas devueltas de los errores encontrados para la corrección pertinente. 
Acta de socialización y formato con firmas de asistencia. </t>
  </si>
  <si>
    <t>Archivo en excel de los ingresos abiertos y las comunicaciones enviadas.</t>
  </si>
  <si>
    <t>Posibilidad de accesos no autorizados, manipulación indebida o adulteración de datos en los sistemas de información institucionales, lo que puede comprometer la integridad, disponibilidad y confidencialidad de la información crítica, como consecuencia de la existencia de vulnerabilidades técnicas y operativas en las plataformas tecnológicas, debido a la falta de controles robustos de seguridad informática, ausencia de monitoreo continuo y deficiencias en la gestión de usuarios, actualizaciones y respaldo de la información.</t>
  </si>
  <si>
    <t>Las vulnerabilidades en los sistemas de información se deben a la falta de implementación de protocolos de ciberseguridad, configuraciones inadecuadas en los sistemas, obsolescencia tecnológica, y debilidades en el control de accesos y perfiles de usuario. También influyen la carencia de auditorías periódicas de seguridad, la insuficiente capacitación del personal en buenas prácticas digitales y la limitada inversión en infraestructura tecnológica segura.</t>
  </si>
  <si>
    <t>1. Acceso indebido a información sensible o confidencial.
2. Alteración, pérdida o robo de datos institucionales.
3. Interrupción de los servicios tecnológicos esenciales.
4. Afectación a la toma de decisiones por uso de información manipulada.
5. Deterioro de la confianza institucional por parte de usuarios y entes de control.
6. Posibles sanciones legales por incumplimiento de normas de protección de datos personales.
7. Hallazgos en auditorías o requerimientos de entes de vigilancia tecnológica.</t>
  </si>
  <si>
    <t>El área de Sistemas, en coordinación con la Dirección de Talento Humano, realiza rondas o inspecciones periódicas en los sitios de trabajo, con el fin de informar y sensibilizar a los funcionarios de la ESE sobre las consecuencias del manejo inadecuado de la información confidencial, promoviendo el cumplimiento de las políticas institucionales de seguridad de la información y fortaleciendo la cultura de protección de datos.</t>
  </si>
  <si>
    <t>El área de Sistemas implementa y ejecuta el Plan de Tratamiento de Riesgos de Información Digital, con el propósito de mitigar las vulnerabilidades detectadas, establecer controles técnicos y administrativos específicos, y garantizar la confidencialidad, integridad y disponibilidad de los activos de información, en cumplimiento de las políticas institucionales de seguridad.</t>
  </si>
  <si>
    <t>El área de Sistemas establece los permisos de acceso mínimos necesarios según el rol del usuario, con el fin de garantizar el principio de mínimo privilegio, prevenir accesos no autorizados a la información institucional y fortalecer los controles de seguridad en los sistemas informáticos. Adicionalmente, realiza revisiones periódicas de los perfiles de acceso, con el propósito de identificar inconsistencias, ajustar permisos cuando sea necesario y mantener actualizado el control de acceso conforme a los cambios organizacionales o funcionales.</t>
  </si>
  <si>
    <t>El área de Talento Humano verifica que todo el personal de planta y contratistas cuente con el acuerdo de confidencialidad debidamente firmado, con el fin de asegurar el compromiso con la protección de la información institucional y dar cumplimiento a las políticas de seguridad y manejo responsable de datos sensibles</t>
  </si>
  <si>
    <t>Una Ronda Semestral de inspecciones</t>
  </si>
  <si>
    <t>Plan de trabajo anual 
(Cumplir minimo con el 80% de ejecución del plan)</t>
  </si>
  <si>
    <t>Matriz de permisos segregados por roles</t>
  </si>
  <si>
    <t>Informe de verificación que contenga el numero de acuerdos de confidencialidad aplicados sobre el total de acuerdos de confidencialidad radicados</t>
  </si>
  <si>
    <t>Posibles ataques cibernéticos que modifiquen o eliminen la información almacenada, lo que podría afectar la integridad, disponibilidad y confidencialidad de los datos, interrumpir los servicios, generar pérdida de información crítica y afectar la continuidad operativa de la entidad.</t>
  </si>
  <si>
    <t>Modificación de información de manera anónima mediante accesos no autorizados o manipulación interna, lo que afecta la integridad y confiabilidad de los datos institucionales.
Ciberataques externos dirigidos a la institución, que comprometen la seguridad, disponibilidad y confidencialidad de la información.</t>
  </si>
  <si>
    <t>Suspensión o demora de las actividades por el bloqueo de sistemas o retención de información</t>
  </si>
  <si>
    <t>Posibilidad de que se manipulen historias clínicas con fines personales o indebidos, afectando la veracidad de los registros médicos, la trazabilidad asistencial y la confianza en los procesos institucionales, como consecuencia de la alteración intencional de la información clínica para encubrir errores, negligencias o facilitar trámites irregulares, debido a debilidades en los controles de acceso, edición y auditoría de historias clínicas, así como a la falta de cultura ética y protocolos rigurosos de seguridad de la información en salud</t>
  </si>
  <si>
    <t>Manipulación de historias clínicas se origina por el acceso no restringido o inadecuadamente controlado a los sistemas de información en salud, deficiencias en los controles de edición y trazabilidad de cambios, falta de auditoría periódica sobre los registros clínicos y ausencia de sanciones efectivas ante irregularidades. También influyen la escasa sensibilización sobre la confidencialidad de la información clínica y la inexistencia de procedimientos para la detección oportuna de modificaciones indebidas</t>
  </si>
  <si>
    <t>Alteración o pérdida de la integridad de la información clínica.
Riesgo para la seguridad del paciente por decisiones clínicas basadas en datos falsos o incompletos.
Encubrimiento de errores o negligencias médicas.
Facilitación de trámites administrativos fraudulentos (licencias, incapacidades, indemnizaciones).
Pérdida de confianza de usuarios, entes de control y aseguradores.</t>
  </si>
  <si>
    <t>Posibilidad de que se produzca la alteración, pérdida o distorsión de la información contenida en los expedientes institucionales, comprometiendo la integridad, legalidad y trazabilidad de los procesos administrativos, contractuales o asistenciales, como consecuencia de la manipulación indebida de los documentos por parte de actores directamente involucrados en los trámites o decisiones, debido a la ausencia de controles efectivos sobre el acceso, custodia y modificación de expedientes, así como a la falta de mecanismos formales de trazabilidad, control documental y auditoría periódica</t>
  </si>
  <si>
    <t>La alteración, pérdida o distorsión de información en los expedientes institucionales se origina por la ausencia de protocolos claros para el manejo, acceso y modificación de los documentos físicos y digitales, falta de restricciones en los niveles de acceso según el rol funcional, y la inexistencia de mecanismos automatizados de trazabilidad documental. Asimismo, incide la escasa implementación de auditorías periódicas, deficiencias en la custodia física o digital de la información y la baja apropiación del personal frente a las normas de integridad, confidencialidad y gestión documental institucional.</t>
  </si>
  <si>
    <t>1. Compromiso de la validez jurídica y técnica de los procesos institucionales.
2. Pérdida de trazabilidad y soporte para decisiones administrativas, contractuales o asistenciales.
3. Obstáculos para responder a requerimientos de entes de control o instancias judiciales.
4. Posibles investigaciones disciplinarias o fiscales por manipulación documental.</t>
  </si>
  <si>
    <t>El área de Archivo y Gestión Documental implementa protocolos de acceso controlado a los expedientes institucionales, con el fin de garantizar que solo el personal autorizado pueda consultar, custodiar o modificar los documentos, preservando así su integridad y confidencialidad.</t>
  </si>
  <si>
    <t>El área de Sistemas, en articulación con Archivo, establece registros digitales de trazabilidad sobre la consulta y modificación de los expedientes, mediante bitácoras o logs del sistema de gestión documental, con el fin de detectar accesos no autorizados y fortalecer el control de auditoría interna.</t>
  </si>
  <si>
    <t>El área de Gestión Documental, en coordinación con el área de Calidad o Auditoría, realiza la digitalización y auditoría periódica de las historias clínicas, con el fin de garantizar la integridad, trazabilidad y confidencialidad de la información del paciente, así como el cumplimiento de la normatividad vigente en materia de gestión documental y seguridad del dato clínico</t>
  </si>
  <si>
    <t>Sanciones administrativas y disciplinarias</t>
  </si>
  <si>
    <t xml:space="preserve"> Sanciones administrativas </t>
  </si>
  <si>
    <t>Reputacional y economico</t>
  </si>
  <si>
    <t>a)Sostener el control (para solidez consistente)</t>
  </si>
  <si>
    <t>b) Implementar controles establecidos pero no ejecutados</t>
  </si>
  <si>
    <t>c) Mejorar los controles existentes en cuanto a fortalecer los atributos que presenten debilidades</t>
  </si>
  <si>
    <t>d) Adoptar nuevos controles</t>
  </si>
  <si>
    <t>e) Emprender acciones que complementen el control y ayuden a mitigar el riesgo</t>
  </si>
  <si>
    <t>Debíl 
se materializo
 el riesgo</t>
  </si>
  <si>
    <t>Posibilidad de que se incrementen las Infecciones en sitio operatorio</t>
  </si>
  <si>
    <t xml:space="preserve"> El jefe del servicio corrobora la ejecución de las actividades de limpieza y desinfeccion de las áreas, mediante la inspeccion y verificación del diligenciamiento por parte de la auxiliar de enfermería de los formatos  establecidos (GQ-F-63) dejando constatado su chequeo mediante firma de los formatos.</t>
  </si>
  <si>
    <r>
      <rPr>
        <b/>
        <sz val="10"/>
        <color theme="1"/>
        <rFont val="Arial"/>
        <family val="2"/>
      </rPr>
      <t xml:space="preserve">
</t>
    </r>
    <r>
      <rPr>
        <sz val="10"/>
        <color theme="1"/>
        <rFont val="Arial"/>
        <family val="2"/>
      </rPr>
      <t>Formatos  establecidos (GQ - F- 63) debidamente revisados y firmados por el Jefe del servicio.</t>
    </r>
  </si>
  <si>
    <t xml:space="preserve">
 Registro en las notas de enfermería que conste la realización del procedimiento de asepsia y antisepsia del lugar. Las historias de sacan del GQ- F-45 programacion de sala de cirugia y se toman al hazar dos historias de cada mes respectivas,</t>
  </si>
  <si>
    <t xml:space="preserve"> El monitor asignado por el jefe de cirugía capacitará trimestralmente al equipo de salas de CX, para asgurar la adherencia al protocolo de lavado de manos, Esta capacitación es complementada con las actividades de las gestoras de seguridad quines trimestralmente aplicarán listas de chequeo de lavado de manos para detectar desviaciones en los protocolos, reportando y gestionando los resultados del indicador.</t>
  </si>
  <si>
    <t>Posibilidad de que los documentos del SIG estén desactualizados o que incumplen los objetivos y alcances para lo que fueron creados.</t>
  </si>
  <si>
    <r>
      <t xml:space="preserve"> El profesional de Calidad encargado de la gestion documental, trimestralmente verifica el cumplimiento de la meta establecida 40% para cada año con respecto a la actualización de documentos de los procesos, para identificar brecha. Evidencia de ello son los informes de seguimiento a la gestion documrntal realizados</t>
    </r>
    <r>
      <rPr>
        <sz val="10"/>
        <color rgb="FFFF0000"/>
        <rFont val="Arial"/>
        <family val="2"/>
      </rPr>
      <t>.</t>
    </r>
    <r>
      <rPr>
        <sz val="10"/>
        <color theme="1"/>
        <rFont val="Arial"/>
        <family val="2"/>
      </rPr>
      <t xml:space="preserve">  Cuando se evidencia el incumplimiento de la meta se requerirá a los líderes de procesos a través de memorando y se hará mesa de trabajo semestralmente.</t>
    </r>
  </si>
  <si>
    <t>El tecnico del proceso de calidad realiza seguimiento mensual al estado de los documentos de la institución en el portal Daruma  y asistencias tecnicas presenciales a fin de emitir alertas a los procesos en los que esté próximo a vencerse alguno de ellos conforme a lo establecido en la guia MC-G-01.</t>
  </si>
  <si>
    <t xml:space="preserve">Posibilidad de que las acciones del proceso de Mejoramiento Continuo no constituyan  herramientas efectivas  para producir los  cambios en los procesos de la institución.
</t>
  </si>
  <si>
    <t>Posibilidad de Incumplir  los tiempos de respuesta a Peticiones y Quejas de los usuarios</t>
  </si>
  <si>
    <t xml:space="preserve">Posibilidad de comunicar informacion erronea a los usuarios respecto a las novedades de los servicios del hospital </t>
  </si>
  <si>
    <t xml:space="preserve">Posibilidad de realizar Inadecuada aplicación al plan terapeutico </t>
  </si>
  <si>
    <t xml:space="preserve">Posibilidada de que se presenten eventos adversos  (Caida de pacientes) </t>
  </si>
  <si>
    <t xml:space="preserve">Posibilidada de que se presenten
Eventos adversos ( Fuga de Pacientes) </t>
  </si>
  <si>
    <t>Posibilidad de que se generen laseraciones en mucosa oral durante la alimentacion con copa o vasos</t>
  </si>
  <si>
    <t>Posibilidad de realizar una indebida clasificaciòn del triage</t>
  </si>
  <si>
    <t xml:space="preserve">
Posibilidad de que se presenten Muertes maternas y perinatales</t>
  </si>
  <si>
    <t>Posibilidad de realizar administracion de medicamentos al paciente incorrecto.</t>
  </si>
  <si>
    <t>Posibilidada de que se presente el
Evento adverso (Fuga de pacientes)</t>
  </si>
  <si>
    <t xml:space="preserve">Posibilidad de realizar tratamientos y ayudas diagnosticas no pertinentes para la patología de los pacientes 
</t>
  </si>
  <si>
    <t>Posibilidad de que se presente demora en la respuesta de asignación de citas</t>
  </si>
  <si>
    <t>Posibilidad de no tener las  horas de consulta especializada suficientes para atender  de forma oportuna la demanda</t>
  </si>
  <si>
    <t>Posibilidad de realizar procesamientos de muestras que incumplen con los requisitos técnicosy/o administrativos requeridos.</t>
  </si>
  <si>
    <t>Posibilidad de que los controles de calidad internos del laboratorio no detectan la desviación o son mal interpretados</t>
  </si>
  <si>
    <t>Posibilidad de que el laboratorio clínico se quede sin los insumos y reactivos necesarios para su operación</t>
  </si>
  <si>
    <t>Posibilidad de que el banco de sangre no cuente con datos reales frente a los insumos necesarios para su debida operacion</t>
  </si>
  <si>
    <t>Posibilidda de que se realice entrega incorrecta de hemocomponentes</t>
  </si>
  <si>
    <t>Posibilidad de tomar  estudios que no corresponden al paciente o marcar estudios con el datos de identificacion equivocado</t>
  </si>
  <si>
    <t>Posibilidad de realizar irradiaciones innecesarias a los pacientes</t>
  </si>
  <si>
    <t>Posibilidad de allegar a los servicios medicamentos que no correspondan a lo solicitado</t>
  </si>
  <si>
    <t xml:space="preserve">Posibilidad de dispensar a los servicios  productos farmacéuticos vencidos </t>
  </si>
  <si>
    <t>Posibilidad de que se pierdan los  medicamentos de control</t>
  </si>
  <si>
    <t>Posibilidad de que se entregue material que  haya perdido su esterilidad o no cuenta con las evidencias de que pasó por un proceso de esterilización.</t>
  </si>
  <si>
    <t xml:space="preserve">Posibildad de que se materialicen los accidentes y enfermedades laborales </t>
  </si>
  <si>
    <t>Posibilidad de que la institución tenga un Talento humano insatisfecho</t>
  </si>
  <si>
    <t>Posibilidad de que el personal nuevo no se adhiera de manera rapida a los procesos institucionales</t>
  </si>
  <si>
    <t xml:space="preserve">Posibilidsd de que no se cuente con personal actualizado, calificado y entrenado para desarrollar sus funciones de manera eficiente    
</t>
  </si>
  <si>
    <t xml:space="preserve">Formato de Declaracios de conflicto de interes y declaración de bienes y rentas </t>
  </si>
  <si>
    <t xml:space="preserve">Posibilidad de realizar Inadecuado manejo de los
residuos hospitalarios </t>
  </si>
  <si>
    <t>El área de Sistemas realiza el monitoreo y seguimiento permanente al sistema de defensa de la información mediante la gestión de perfiles de acceso asignados a cada responsable, y la actualización periódica de contraseñas, con el fin de prevenir accesos no autorizados, garantizar la integridad de los datos y dar cumplimiento a las políticas institucionales de seguridad de la información</t>
  </si>
  <si>
    <t>El área de Sistemas realiza copias de seguridad automatizadas y periódicas de la información institucional, las cuales son almacenadas en un entorno seguro y separado de la red principal, con el fin de garantizar la disponibilidad y recuperación de los datos ante eventos de pérdida, daño o incidentes de seguridad informática</t>
  </si>
  <si>
    <t>Actas de seguimiento y monitoreo al sistema de seguimiento sobre el cumplimiento a la seguridad de la información</t>
  </si>
  <si>
    <t>Acta de revisión periodica de ejecución de backups</t>
  </si>
  <si>
    <t>Capacitación en el manejo de la información de la ESE</t>
  </si>
  <si>
    <t>Informe de auditoria de las historias clinicas</t>
  </si>
  <si>
    <t>Posibilidad de que se adelanten procesos contractuales sin el cumplimiento pleno de los requisitos establecidos en la etapa precontractual, lo cual puede generar nulidades, sanciones o retrasos en la ejecución contractual, como consecuencia de omisiones, errores o actuaciones inadecuadas en la fase de planeación y estructuración de los procesos, debido a debilidades en el conocimiento normativo, ausencia de controles previos efectivos y deficiente articulación entre las áreas técnicas, jurídicas y financieras responsables del proceso</t>
  </si>
  <si>
    <t>El incumplimiento de los requisitos precontractuales se origina en la inadecuada planeación de los procesos, la falta de revisión exhaustiva de los documentos exigidos, el desconocimiento o interpretación errónea de la normativa aplicable, así como en la débil coordinación entre las dependencias responsables. También incide la ausencia de controles preventivos y listas de verificación que aseguren el cumplimiento integral de las etapas previas al perfeccionamiento del contrato.</t>
  </si>
  <si>
    <t>1. Nulidad de los actos administrativos precontractuales o del contrato mismo.
2. Sanciones disciplinarias o fiscales a los funcionarios responsables.
3. Retrasos en la ejecución de bienes y servicios esenciales.
4. Afectación a la transparencia y legalidad del proceso contractual.
5. Observaciones o hallazgos por parte de entes de control.
6. Desconfianza por parte de proveedores y deterioro de la imagen institucional.</t>
  </si>
  <si>
    <t>El profesional universitario del área de Contratación, con apoyo del personal designado, verifica el cumplimiento de los requisitos legales, técnicos y financieros exigidos cada vez que se presenta una necesidad de contratación, utilizando la lista de chequeo establecida en el Formato GJ-F-14 ‘Verificación de Requisitos Contractuales’, con el fin de garantizar la vinculación de oferentes que cumplan con los estándares de calidad, confiabilidad y legalidad requeridos por el Hospital Departamental María Inmaculada E.S.E. En caso de incumplimiento, la documentación es devuelta a la dependencia correspondiente para su respectivo ajuste antes de la elaboración del contrato.</t>
  </si>
  <si>
    <t>El profesional universitario del área de Contratación, con apoyo del personal designado, verifica que el 100% de los contratos suscritos incluyan cláusulas de debida diligencia alineadas con los lineamientos del SARLAFT, con el fin de prevenir riesgos asociados al Lavado de Activos y la Financiación del Terrorismo, y asegurar el cumplimiento del marco normativo vigente, la integridad contractual y la protección institucional frente a operaciones ilícitas.</t>
  </si>
  <si>
    <t>Contratos</t>
  </si>
  <si>
    <t>Posibilidad de que se vinculen colaboradores con antecedentes relacionados con el lavado de activos, financiación del terrorismo u otras actividades ilícitas, lo cual podría comprometer la integridad institucional, aumentar la exposición al riesgo legal y afectar la credibilidad de la entidad, como consecuencia de fallas en los procesos de selección, validación y seguimiento del personal vinculado, debido a la ausencia o aplicación deficiente de controles de conocimiento del colaborador, cruces con bases restrictivas y verificación de antecedentes judiciales, disciplinarios o financieros.</t>
  </si>
  <si>
    <t>Falta de un procedimiento riguroso de conocimiento del colaborador, deficiencias en la verificación de antecedentes a través de listas restrictivas nacionales e internacionales, omisión de validaciones en bases judiciales y disciplinarias, y debilidades en la articulación entre talento humano, control interno y el oficial de cumplimiento SARLAFT. También influye la carencia de protocolos de seguimiento posterior a la vinculación.</t>
  </si>
  <si>
    <t>1, Riesgo de que la entidad sea utilizada como canal para actividades ilícitas.
2, Afectación de la confianza institucional por parte de entes de control, usuarios y ciudadanía.
3, Sanciones legales o administrativas por omisión en los deberes de debida diligencia.
4, Deterioro de la imagen y reputación institucional.
5, Compromiso de procesos críticos si personas no idóneas acceden a información sensible o funciones clave.</t>
  </si>
  <si>
    <t>Posibilidad de que la entidad enfrente sanciones fiscales, disciplinarias, penales o civiles por parte de organismos de control, al no cumplir con los deberes legales de transparencia y rendición de cuentas, como consecuencia del no reporte oportuno de la información contractual en las plataformas designadas para tal fin, debido a debilidades en el control de tiempos, falta de seguimiento al cumplimiento normativo y deficiente articulación entre las áreas responsables del registro contractual</t>
  </si>
  <si>
    <t>El no reporte oportuno de la información contractual en las plataformas oficiales (como SECOP II, SIA Observa, entre otras) se debe a una inadecuada gestión de los plazos establecidos, ausencia de alertas o mecanismos de control interno para asegurar el cumplimiento, escasa apropiación normativa por parte de los funcionarios responsables y deficiente coordinación entre las áreas jurídicas, contractuales y de planeación. Adicionalmente, puede influir la falta de personal capacitado o sobrecarga operativa</t>
  </si>
  <si>
    <t>1. Imposición de sanciones fiscales, disciplinarias, penales o civiles a los responsables.
2. Pérdida de recursos públicos por ineficiencias en el control y seguimiento contractual.
3. Observaciones o hallazgos negativos en auditorías externas e internas.
4. Deterioro de la imagen institucional y de la confianza ciudadana.
5. Bloqueo o restricción en el acceso a recursos por incumplimientos reiterados.
6. Afectación al principio de transparencia en la gestión contractual.</t>
  </si>
  <si>
    <t xml:space="preserve">El profesional universitario del área de Contratación, con apoyo del personal designado realiza el seguimiento a la publicación de los procesos contractuales, conforme a los plazos establecidos por los entes de control, con el fin de garantizar el cumplimiento de los requerimientos normativos en materia de publicidad y transparencia contractual
 </t>
  </si>
  <si>
    <t>Certificado de relación del seguimiento de la publicación y rendición de contratos</t>
  </si>
  <si>
    <t>Posibilidad de que la entidad se vea expuesta a riesgos legales, financieros y reputacionales, al ser utilizada como medio para operaciones relacionadas con el lavado de activos y la financiación del terrorismo, como consecuencia del cumplimiento deficiente de los procedimientos establecidos para su prevención, debido a debilidades en la implementación del SARLAFT, la falta de seguimiento y control por parte de los responsables, y la baja apropiación del riesgo por parte del personal involucrado</t>
  </si>
  <si>
    <t>El cumplimiento deficiente de los procedimientos para la prevención del lavado de activos y financiación del terrorismo obedece a fallas en la aplicación práctica del SARLAFT, escasa supervisión de su implementación, ausencia de una cultura de gestión del riesgo entre los funcionarios y contratistas, y deficiencias en la capacitación, seguimiento y control de las actividades previstas en el sistema. A ello se suma la falta de integración del SARLAFT con otros procesos institucionales clave como la contratación, el control interno y la gestión documental.</t>
  </si>
  <si>
    <t>1. Riesgo de sanciones legales y administrativas por parte de autoridades competentes.
2. Pérdida de confianza por parte de usuarios, proveedores y entes de control.
3. Mayor vulnerabilidad institucional ante operaciones ilícitas.
4. Hallazgos en auditorías internas o externas.
Afectación a la imagen y reputación de la entidad.
5. Debilitamiento de los sistemas de control y cumplimiento normativo.</t>
  </si>
  <si>
    <t>El profesional universitario del área de Contratación, con apoyo del personal designado, verifica durante la etapa precontractual y antes del perfeccionamiento de cada contrato, que las personas naturales o jurídicas involucradas no se encuentren relacionadas en listas restrictivas o vinculantes asociadas al riesgo de Lavado de Activos y Financiación del Terrorismo (LA/FT). Esta verificación se realiza a través de la plataforma TUSDATOS.CO o mediante las herramientas adoptadas por la entidad, con el fin de identificar posibles alertas y mitigar riesgos legales e institucionales. En caso de hallar coincidencias negativas, se procede a la suspensión inmediata del proceso contractual y se informa a las instancias competentes para su análisis y gestión del riesgo</t>
  </si>
  <si>
    <t>El profesional universitario del área de Contratación, con apoyo del personal designado coteja la información diligenciada en los formatos recolectados en el marco del SARLAFT para cada cliente, proveedor o contratista, con la información comercial y financiera contenida en los expedientes contractuales, con el fin de identificar posibles inconsistencias o indicios de riesgo. La evidencia de esta revisión queda registrada mediante la firma en el Formulario de Conocimiento del Proveedor, Contratista o Cliente.</t>
  </si>
  <si>
    <t xml:space="preserve"> Firma del Formsato  DE - F 27  FORMATO DE CONOCIMIENTO DEL PROVEEDOR, CONTRATISTA Y CLIENTE SARLAFT/FPADM-COF</t>
  </si>
  <si>
    <t>Posibilidad de que se presenten deficiencias en los procesos contractuales de la E.S.E., generando incumplimientos, sobrecostos y retrasos en la ejecución, lo cual impacta negativamente la calidad, oportunidad y continuidad de los servicios prestados, como consecuencia de fallas en la planeación, estructuración y seguimiento de los contratos, debido a debilidades en la capacidad técnica y operativa, falta de articulación entre las áreas involucradas y ausencia de controles efectivos a lo largo del ciclo contractual.</t>
  </si>
  <si>
    <t>Abuso de la jerarquía para influir en la elaboración de estudios previos, generando distorsión en la objetividad y transparencia de los procesos de contratación.
Controles internos insuficientes en el proceso de adquisición de bienes y servicios, lo que facilita irregularidades, sobrecostos y asignaciones discrecionales.
Chantaje y presión política para mantener a funcionarios en determinados cargos, afectando la meritocracia y la independencia en la toma de decisiones.
Manipulación intencional en la aplicación de procedimientos y normas legales vigentes, con el fin de favorecer intereses particulares o de terceros.</t>
  </si>
  <si>
    <t>Genera ambientes de favorecimiento de la adjudicación de contratos.
Manipulación juridica en las evaluaciones de contratación.
Adjudicación a ofertas menos convenientes.
Ejecución de proyectos sin el cumplimiento de las obligaciones contractuales</t>
  </si>
  <si>
    <t>El profesional universitario del área de Contratación realiza una jornada trimestral de sensibilización dirigida al personal involucrado en los procesos contractuales, con el fin de promover los principios de transparencia, ética y responsabilidad en la contratación estatal. Esta actividad busca fortalecer la cultura de integridad institucional, prevenir prácticas indebidas y fomentar el cumplimiento de las normas y buenas prácticas que rigen la gestión contractual en el Hospital Departamental María Inmaculada E.S.E.</t>
  </si>
  <si>
    <t>El profesional universitario del área de Contratación realiza una jornada semestral de capacitación dirigida al personal involucrado en el proceso de la adquisición de bienes y servicios, orientada a socializar los lineamientos establecidos en el Manual de Contratación del Hospital Departamental María Inmaculada E.S.E. y en el Estatuto de Contratación vigente. Esta actividad tiene como finalidad asegurar la correcta aplicación de la normativa contractual, fortalecer la transparencia y la eficiencia en la gestión de los recursos públicos, y garantizar el cumplimiento de los principios de legalidad, planeación y responsabilidad en la contratación estatal.</t>
  </si>
  <si>
    <t>Acta de Capacitación</t>
  </si>
  <si>
    <r>
      <t xml:space="preserve"> - </t>
    </r>
    <r>
      <rPr>
        <b/>
        <sz val="10"/>
        <rFont val="Arial Narrow"/>
        <family val="2"/>
      </rPr>
      <t xml:space="preserve"> Hoja  8  Listas desplegables</t>
    </r>
  </si>
  <si>
    <t xml:space="preserve"> -  Hoja  9 Reporte riesgos materializados</t>
  </si>
  <si>
    <t>Seguimiento, Monitoreo y Verificación de los Controles</t>
  </si>
  <si>
    <t>Riesgo</t>
  </si>
  <si>
    <t>Control</t>
  </si>
  <si>
    <t>Responsable</t>
  </si>
  <si>
    <t>Periodicidad</t>
  </si>
  <si>
    <t>Fecha de Inicio</t>
  </si>
  <si>
    <t>Fecha Final</t>
  </si>
  <si>
    <t>Seguimiento 1</t>
  </si>
  <si>
    <t>Seguimiento 2</t>
  </si>
  <si>
    <t>Seguimiento 3</t>
  </si>
  <si>
    <t>Seguimiento 4</t>
  </si>
  <si>
    <t>ANALISIS DEL CUMPLIMIENTO DE LOS CONTROLES (ANUAL)</t>
  </si>
  <si>
    <t>CONTROL DE CAMBIOS</t>
  </si>
  <si>
    <t>Versión</t>
  </si>
  <si>
    <t>Descripción del cambio</t>
  </si>
  <si>
    <t>Fecha de aprobación</t>
  </si>
  <si>
    <t>Profesional especializado (Gestión de calidad)</t>
  </si>
  <si>
    <t>Versión 1</t>
  </si>
  <si>
    <t>Versión 2</t>
  </si>
  <si>
    <t>Versión 3</t>
  </si>
  <si>
    <t>NOMBRE DEL PROCESO</t>
  </si>
  <si>
    <t>CÓDIGO</t>
  </si>
  <si>
    <t>FORMATO</t>
  </si>
  <si>
    <t>VERSIÓN</t>
  </si>
  <si>
    <t>VIGENCIA</t>
  </si>
  <si>
    <t>Cambio de toda la matriz institucional</t>
  </si>
  <si>
    <t>Sin información relacionada.</t>
  </si>
  <si>
    <t>La regente de almacén realiza la verificación del stock de medicamentos e insumos médicos cada vez que efectúa un despacho, consultando el sistema de inventario institucional. Esta verificación incluye el diligenciamiento de un archivo en el Excel, en la que se registran los insumos que se encuentran próximos agotarse, con un porcentaje igual o inferior al 65%. La regente comunica dicha condición a la almacenista general mediante correo electrónico y/o memorando, con el fin de iniciar oportunamente el proceso de adquisición y evitar el desabastecimiento.</t>
  </si>
  <si>
    <t>Archivo de excel con la relacion de los medicamentos e insumos.</t>
  </si>
  <si>
    <t xml:space="preserve">Los proveedores no despachan la mercancía oportunamente y de manera completa
Falta de celeridad en los trámites adminsitrativos que permitan realizar efectacion operativa de las compras en el sistema
</t>
  </si>
  <si>
    <t xml:space="preserve">Posibilidad de no contrar con el stock minimo de medicamentos e insumos para la normal prestacion de servicios </t>
  </si>
  <si>
    <t>La regente  encargada del seguimiento de la disponibilidad de insumos, realiza seguimiento a lo enviado por el proveedor e informa a la almacenista general lo pendiente por despachar por parte de los proveedores, esto por mediante correo electronico. Luego la almacenista solicita a los proveedores el envio de los pendientes por correo electronico.</t>
  </si>
  <si>
    <t xml:space="preserve">Posivilidad de Inadecuada manipulación o disposición de elementos frágiles o por mal estado de las instalaciones(humedades, goteras)
</t>
  </si>
  <si>
    <t xml:space="preserve">
No tener claridad sobre la manipulacion de los insumos de acuerdo a su  presentacion.
Mal estado de las instalaciones locativas
</t>
  </si>
  <si>
    <t>Acta de registro de verificacion de almacenamiento.</t>
  </si>
  <si>
    <t>Posibilidad de que se venzan los medicamentos y materiales medico quirúrgicos</t>
  </si>
  <si>
    <t xml:space="preserve">
Posibilidad de no suministrar en su totalidad los medicamentos e insumos solicitados por el servicio farmacéutico y los servicios de atención a pacientes en las ordenes de despacho.</t>
  </si>
  <si>
    <t xml:space="preserve">Certificacion donde se evidencie sosporte de los mensales de difucion realizados. </t>
  </si>
  <si>
    <t>ACTIVOS FIJOS</t>
  </si>
  <si>
    <t xml:space="preserve">La regente del almacen realiza la verificacion en bodega de lque os insumos  se encuentren en optimas condiciones referente a su presentacion. </t>
  </si>
  <si>
    <t xml:space="preserve">La regente encargada  de la recepcion tecnica  y recibido de los insumos  verifica  que prodcutos  tiengan la carta de compromiso de devolución por vencimiento para requerir al proveedor el respectivo cambio. </t>
  </si>
  <si>
    <t>Diligenciamiento y suscripción del formato 
DE-F-27 Formasto de conicimiento delñ proveedor,contratistay cliente SARLAFT/FPADM-COF</t>
  </si>
  <si>
    <t xml:space="preserve">
Posibilidad de no dejar trazabilidad de las glosas conciliadas en el software, excepto los valores aceptados definitivos</t>
  </si>
  <si>
    <t xml:space="preserve">
Posibilidad de no tener una base de datos  confiable para la estimación de los costos en los  centros de producción.</t>
  </si>
  <si>
    <t>Posibilidad de generar eventos adversos (ULCERAS POR PRESION, CAIDAS, EXTUBACION NO PROGRAMADA, EVENTOS  EMBOLICOS) por fallas atribuibles al  personal de los servicios de cuidado crítico</t>
  </si>
  <si>
    <r>
      <t xml:space="preserve">Fallas en la planeación de los requerimientos, ausencia de criterios técnicos y objetivos para la selección de proveedores, debilidades en la supervisión de los procesos contractuales, desconocimiento normativo por parte del personal responsable, y falta de mecanismos eficaces para prevenir conflictos de interés. 
</t>
    </r>
    <r>
      <rPr>
        <sz val="10"/>
        <rFont val="Arial"/>
        <family val="2"/>
      </rPr>
      <t xml:space="preserve">
Limitada aplicación de los principios del Estatuto y  Manual de Contratación de la Entidad, la carencia de listas de verificación y la baja trazabilidad de los procesos.</t>
    </r>
  </si>
  <si>
    <r>
      <rPr>
        <sz val="10"/>
        <rFont val="Arial"/>
        <family val="2"/>
      </rPr>
      <t>Posibilidad que la entidad sea objeto de sanciones legales, fiscales o reputacionales, por el ingreso de recursos presuntamente vinculados con actividades de lavado de activos o financiación del terrorismo, como consecuencia del recaudo en efectivo por parte de usuarios por concepto de servicios de salud, sin la debida validación del origen de los fondos, debido a deficiencias en la aplicación de los procedimientos de debida diligencia, ausencia de controles específicos para operaciones en efectivo y una implementación parcial del SARLAFT en los procesos de recaudo institucional.</t>
    </r>
    <r>
      <rPr>
        <sz val="10"/>
        <color theme="1"/>
        <rFont val="Arial"/>
        <family val="2"/>
      </rPr>
      <t xml:space="preserve">
</t>
    </r>
  </si>
  <si>
    <t>*Informe de SARLAFT
*Actas de seguimiento a las oficinas del riesgo
* Soportes de capacitación/Socializaciones
*Plan de mejora cuando aplique</t>
  </si>
  <si>
    <t xml:space="preserve">  El Subgerente Cientifico realizará la Socializacion semestral  ( o cada que se requiera por rotacion de personal) dirigido a medicos generales, especialistas y demás personal paramedico de las Guias de Practica Clinica de las 5 primeras causas de egreso hospitalario</t>
  </si>
  <si>
    <t xml:space="preserve">
El subgerente cientifico con apoyo de Sub gerencia Administrativa a través de Auditoria de concurrencia realizara  un perfil con las principales causa de glosas por pertinencia, realizando solcializacion de  los resultados obtenidos  y presentando un informe   al comite de Historias Clinicas. (pedir informacion a auditoria de cuentas medicas)</t>
  </si>
  <si>
    <t xml:space="preserve">
Formato de asistencia MC-F-03  de la socializacion  por parte del Jefe del servicio en  adherencia al protocolo de lavado de manos y  listas de chequeo de lavado de manos de las actividades realizadas por  las gestoras de seguridad .</t>
  </si>
  <si>
    <t xml:space="preserve"> El auxiliar de enfermería realiza la asepsia y antisepsia del lugar dejando registro en sus notas de enfermería de la realización del procedimiento realizado y el jefe del servicio verifica la actividad realizada por el auxiliar.</t>
  </si>
  <si>
    <t xml:space="preserve"> El profesional quimico farmaceutico, auxiliares y regentes verifican mensualmente que todo los medicamentos esten correctamente semaforizados  y realiza la rotacion de los  mismos  para la pronta utilizacion de los proximos a vencer </t>
  </si>
  <si>
    <t>El profesional quimico farmacéutico, auxiliares y regentes  verifican al recibo de los produtos a la farmacia, la fecha de vencimiento de los mismos, reportando y devolviendo los productos que ya se encuentran vencidos y dejando la anotación en el sistema sobre las novedades encontradas. en la periodicidad establecida dentro de los procedimientos internos del servicio.</t>
  </si>
  <si>
    <t xml:space="preserve"> El profesional quimico farmaceutico, auxiliares y regentes  verifican mensualmente que todo los medicamentos esten correctamente semaforizados  y realiza la rotacion de mismos para la pronta utilizacion de los proximos a vencer</t>
  </si>
  <si>
    <r>
      <rPr>
        <b/>
        <sz val="10"/>
        <color theme="1"/>
        <rFont val="Arial"/>
        <family val="2"/>
      </rPr>
      <t xml:space="preserve">
</t>
    </r>
    <r>
      <rPr>
        <sz val="10"/>
        <color theme="1"/>
        <rFont val="Arial"/>
        <family val="2"/>
      </rPr>
      <t xml:space="preserve">  La recepcion y cargue al sistema de facturas verifican en la medida de la entrada de productos al lalmacen qué productos tienen carta de compromiso para hacer efectivo los cambios fisicos de existencia de un producto de fecha proxima a vencer.</t>
    </r>
  </si>
  <si>
    <t>Posibilidad de que se Incumplan los términos en las distintas etapas procesales.</t>
  </si>
  <si>
    <t xml:space="preserve">  Posibiliodad de que se profieran autos de cargos disciplinarios subjetivos. Dilatación de procesos disciplinarios con el propósito de obtener el vencimiento de términos o la prescripción del mismo. 
</t>
  </si>
  <si>
    <t>El área de Talento humano con el apoyo del area de Planeación convoca trimestralmente al Comité de Conducta y Buen Gobierno y socializa sus decisiones a los colaboradores involucrados en situaciones que puedan constituir faltas institucionales, con el fin de garantizar la transparencia de los procesos disciplinarios, fomentar la autorregulación y fortalecer la cultura de ética e integridad en el Hospital Departamental María Inmaculada E.S.E.</t>
  </si>
  <si>
    <t>Posibilidad de que la informacion institucional sea manipulada o adulterada</t>
  </si>
  <si>
    <t>Posibilidsd de Interrupción de cualquier   servicio que afecte la infraestructura  tecnológica de la entidad por causas internas o externas.</t>
  </si>
  <si>
    <t>Posibilidad de que se Incumpla la normatividad archivistica</t>
  </si>
  <si>
    <t>Plantilla que se anexará a la matriz para realizar el respectivo seguimiento</t>
  </si>
  <si>
    <t>Teniendo en cuenta las responsabilidades establecidas en el Manual del Sistema Integrado de Gestion de Riesgosl para la administración del riesgo MC-M-08 corresponde a la primera línea de defensa (los procesos), diseñar, implementa, monitorear los controles y reportar riesgos materializados, como parte de la gestión diaria de los riesgos que le compete a cada proceso, por lo anterior se socializó formato para reportar la materialización de riesgos y se envía el formato junto a la matriz de riesgos priorizados por proceso, para su respectivo reporte.</t>
  </si>
  <si>
    <t xml:space="preserve"> -  Hoja 10 Seguimiento a controles</t>
  </si>
  <si>
    <t>Se anexa hoja 8 lista desplegable, hoja 9 Reporte riesgos materializados, hoja 10 Seguimiento a controles, se eliminaron 5 columnas donde se realiozaba el seguimiento de los controles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</si>
</sst>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yyyy\-mm\-dd;@"/>
  </numFmts>
  <fonts count="90"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0"/>
      <color theme="1"/>
      <name val="Tahoma"/>
      <family val="2"/>
    </font>
    <font>
      <b/>
      <sz val="10"/>
      <color theme="1"/>
      <name val="Tahoma"/>
      <family val="2"/>
    </font>
    <font>
      <sz val="24"/>
      <color theme="1"/>
      <name val="Calibri"/>
      <family val="2"/>
      <scheme val="minor"/>
    </font>
    <font>
      <sz val="22"/>
      <color theme="1"/>
      <name val="Calibri"/>
      <family val="2"/>
      <scheme val="minor"/>
    </font>
    <font>
      <sz val="18"/>
      <color theme="1"/>
      <name val="Calibri"/>
      <family val="2"/>
      <scheme val="minor"/>
    </font>
    <font>
      <b/>
      <sz val="16"/>
      <color theme="1"/>
      <name val="Calibri"/>
      <family val="2"/>
      <scheme val="minor"/>
    </font>
    <font>
      <b/>
      <sz val="8"/>
      <color theme="1"/>
      <name val="Tahoma"/>
      <family val="2"/>
    </font>
    <font>
      <b/>
      <sz val="9"/>
      <color indexed="81"/>
      <name val="Tahoma"/>
      <family val="2"/>
    </font>
    <font>
      <sz val="9"/>
      <color indexed="81"/>
      <name val="Tahoma"/>
      <family val="2"/>
    </font>
    <font>
      <sz val="10"/>
      <color rgb="FFFF0000"/>
      <name val="Tahoma"/>
      <family val="2"/>
    </font>
    <font>
      <b/>
      <sz val="14"/>
      <color theme="1"/>
      <name val="Tahoma"/>
      <family val="2"/>
    </font>
    <font>
      <b/>
      <sz val="20"/>
      <color theme="1"/>
      <name val="Tahoma"/>
      <family val="2"/>
    </font>
    <font>
      <sz val="10"/>
      <color theme="1"/>
      <name val="Arial"/>
      <family val="2"/>
    </font>
    <font>
      <b/>
      <sz val="12"/>
      <color theme="1"/>
      <name val="Tahoma"/>
      <family val="2"/>
    </font>
    <font>
      <b/>
      <sz val="20"/>
      <color theme="1"/>
      <name val="Cambria"/>
      <family val="1"/>
      <scheme val="major"/>
    </font>
    <font>
      <b/>
      <sz val="12"/>
      <name val="Tahoma"/>
      <family val="2"/>
    </font>
    <font>
      <b/>
      <sz val="10"/>
      <color theme="1"/>
      <name val="Arial"/>
      <family val="2"/>
    </font>
    <font>
      <sz val="10"/>
      <color rgb="FFFF0000"/>
      <name val="Arial"/>
      <family val="2"/>
    </font>
    <font>
      <sz val="10"/>
      <color rgb="FF000000"/>
      <name val="Arial"/>
      <family val="2"/>
    </font>
    <font>
      <b/>
      <sz val="10"/>
      <name val="Arial"/>
      <family val="2"/>
    </font>
    <font>
      <b/>
      <sz val="16"/>
      <color theme="1"/>
      <name val="Arial"/>
      <family val="2"/>
    </font>
    <font>
      <b/>
      <sz val="11"/>
      <color theme="1"/>
      <name val="Tahoma"/>
      <family val="2"/>
    </font>
    <font>
      <sz val="8"/>
      <color rgb="FF000000"/>
      <name val="Arial"/>
      <family val="2"/>
    </font>
    <font>
      <sz val="10"/>
      <color rgb="FFC00000"/>
      <name val="Arial"/>
      <family val="2"/>
    </font>
    <font>
      <b/>
      <sz val="10"/>
      <color rgb="FF000000"/>
      <name val="Arial"/>
      <family val="2"/>
    </font>
    <font>
      <b/>
      <sz val="26"/>
      <color theme="1"/>
      <name val="Tahoma"/>
      <family val="2"/>
    </font>
    <font>
      <b/>
      <sz val="16"/>
      <color theme="1"/>
      <name val="Tahoma"/>
      <family val="2"/>
    </font>
    <font>
      <sz val="11"/>
      <color theme="1"/>
      <name val="Tahoma"/>
      <family val="2"/>
    </font>
    <font>
      <b/>
      <sz val="8"/>
      <color rgb="FF000000"/>
      <name val="Arial"/>
      <family val="2"/>
    </font>
    <font>
      <b/>
      <sz val="10"/>
      <color rgb="FFFF0000"/>
      <name val="Arial"/>
      <family val="2"/>
    </font>
    <font>
      <b/>
      <sz val="14"/>
      <color theme="1"/>
      <name val="Arial"/>
      <family val="2"/>
    </font>
    <font>
      <b/>
      <sz val="10"/>
      <color rgb="FF0070C0"/>
      <name val="Arial"/>
      <family val="2"/>
    </font>
    <font>
      <b/>
      <sz val="10"/>
      <color theme="1"/>
      <name val="Calibri"/>
      <family val="2"/>
      <scheme val="minor"/>
    </font>
    <font>
      <sz val="14"/>
      <color theme="1"/>
      <name val="Arial"/>
      <family val="2"/>
    </font>
    <font>
      <b/>
      <sz val="12"/>
      <color theme="1"/>
      <name val="Calibri"/>
      <family val="2"/>
      <scheme val="minor"/>
    </font>
    <font>
      <b/>
      <sz val="11"/>
      <color theme="1"/>
      <name val="Calibri"/>
      <family val="2"/>
      <scheme val="minor"/>
    </font>
    <font>
      <b/>
      <sz val="12"/>
      <color theme="1"/>
      <name val="Arial"/>
      <family val="2"/>
    </font>
  </fonts>
  <fills count="27">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0"/>
        <bgColor theme="0"/>
      </patternFill>
    </fill>
    <fill>
      <patternFill patternType="solid">
        <fgColor theme="6"/>
        <bgColor indexed="64"/>
      </patternFill>
    </fill>
    <fill>
      <patternFill patternType="solid">
        <fgColor rgb="FFBAD08A"/>
        <bgColor indexed="64"/>
      </patternFill>
    </fill>
    <fill>
      <patternFill patternType="solid">
        <fgColor rgb="FFFAC090"/>
        <bgColor indexed="64"/>
      </patternFill>
    </fill>
    <fill>
      <patternFill patternType="solid">
        <fgColor rgb="FFFDE9D9"/>
        <bgColor indexed="64"/>
      </patternFill>
    </fill>
    <fill>
      <patternFill patternType="solid">
        <fgColor rgb="FF9BBB59"/>
        <bgColor indexed="64"/>
      </patternFill>
    </fill>
    <fill>
      <patternFill patternType="solid">
        <fgColor rgb="FFFFFFFF"/>
        <bgColor indexed="64"/>
      </patternFill>
    </fill>
    <fill>
      <patternFill patternType="solid">
        <fgColor theme="0" tint="-0.14999847407452621"/>
        <bgColor indexed="64"/>
      </patternFill>
    </fill>
    <fill>
      <patternFill patternType="solid">
        <fgColor rgb="FF98D137"/>
        <bgColor indexed="64"/>
      </patternFill>
    </fill>
    <fill>
      <patternFill patternType="solid">
        <fgColor theme="6" tint="0.79998168889431442"/>
        <bgColor indexed="64"/>
      </patternFill>
    </fill>
  </fills>
  <borders count="119">
    <border>
      <left/>
      <right/>
      <top/>
      <bottom/>
      <diagonal/>
    </border>
    <border>
      <left style="dotted">
        <color rgb="FFF79646"/>
      </left>
      <right style="dotted">
        <color rgb="FFF79646"/>
      </right>
      <top style="dotted">
        <color rgb="FFF79646"/>
      </top>
      <bottom style="dotted">
        <color rgb="FFF79646"/>
      </bottom>
      <diagonal/>
    </border>
    <border>
      <left style="dotted">
        <color rgb="FFF79646"/>
      </left>
      <right style="dotted">
        <color rgb="FFF79646"/>
      </right>
      <top/>
      <bottom style="dotted">
        <color rgb="FFF79646"/>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theme="1"/>
      </left>
      <right style="thin">
        <color theme="1"/>
      </right>
      <top style="thin">
        <color theme="1"/>
      </top>
      <bottom style="thin">
        <color theme="1"/>
      </bottom>
      <diagonal/>
    </border>
    <border>
      <left/>
      <right/>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style="thin">
        <color theme="1"/>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indexed="64"/>
      </left>
      <right style="thin">
        <color indexed="64"/>
      </right>
      <top/>
      <bottom/>
      <diagonal/>
    </border>
    <border>
      <left style="thin">
        <color indexed="64"/>
      </left>
      <right/>
      <top style="thin">
        <color theme="1"/>
      </top>
      <bottom/>
      <diagonal/>
    </border>
    <border>
      <left style="thin">
        <color indexed="64"/>
      </left>
      <right style="thin">
        <color indexed="64"/>
      </right>
      <top style="thin">
        <color theme="1"/>
      </top>
      <bottom style="thin">
        <color indexed="64"/>
      </bottom>
      <diagonal/>
    </border>
    <border>
      <left/>
      <right style="thin">
        <color indexed="64"/>
      </right>
      <top style="thin">
        <color theme="1"/>
      </top>
      <bottom style="thin">
        <color indexed="64"/>
      </bottom>
      <diagonal/>
    </border>
    <border>
      <left style="thin">
        <color theme="1"/>
      </left>
      <right style="thin">
        <color indexed="64"/>
      </right>
      <top style="thin">
        <color theme="1"/>
      </top>
      <bottom/>
      <diagonal/>
    </border>
    <border>
      <left style="thin">
        <color indexed="64"/>
      </left>
      <right style="thin">
        <color theme="1"/>
      </right>
      <top style="thin">
        <color theme="1"/>
      </top>
      <bottom/>
      <diagonal/>
    </border>
    <border>
      <left style="thin">
        <color indexed="64"/>
      </left>
      <right style="thin">
        <color theme="1"/>
      </right>
      <top/>
      <bottom/>
      <diagonal/>
    </border>
    <border>
      <left style="thin">
        <color theme="1"/>
      </left>
      <right/>
      <top/>
      <bottom/>
      <diagonal/>
    </border>
    <border>
      <left style="thin">
        <color indexed="64"/>
      </left>
      <right style="thin">
        <color indexed="64"/>
      </right>
      <top style="thin">
        <color theme="1"/>
      </top>
      <bottom/>
      <diagonal/>
    </border>
    <border>
      <left style="thin">
        <color indexed="64"/>
      </left>
      <right style="thin">
        <color theme="1"/>
      </right>
      <top/>
      <bottom style="thin">
        <color indexed="64"/>
      </bottom>
      <diagonal/>
    </border>
    <border>
      <left style="thin">
        <color theme="1"/>
      </left>
      <right style="thin">
        <color indexed="64"/>
      </right>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diagonal/>
    </border>
    <border>
      <left/>
      <right style="thin">
        <color theme="1"/>
      </right>
      <top/>
      <bottom/>
      <diagonal/>
    </border>
    <border>
      <left/>
      <right style="thin">
        <color theme="1"/>
      </right>
      <top style="thin">
        <color theme="1"/>
      </top>
      <bottom/>
      <diagonal/>
    </border>
    <border>
      <left/>
      <right/>
      <top style="thin">
        <color theme="1"/>
      </top>
      <bottom/>
      <diagonal/>
    </border>
    <border>
      <left style="thin">
        <color theme="1"/>
      </left>
      <right style="thin">
        <color indexed="64"/>
      </right>
      <top/>
      <bottom/>
      <diagonal/>
    </border>
    <border>
      <left style="thin">
        <color theme="1"/>
      </left>
      <right style="thin">
        <color indexed="64"/>
      </right>
      <top style="thin">
        <color indexed="64"/>
      </top>
      <bottom/>
      <diagonal/>
    </border>
    <border>
      <left style="thin">
        <color theme="1"/>
      </left>
      <right style="thin">
        <color theme="1"/>
      </right>
      <top/>
      <bottom style="thin">
        <color indexed="64"/>
      </bottom>
      <diagonal/>
    </border>
    <border>
      <left style="thin">
        <color indexed="64"/>
      </left>
      <right style="thin">
        <color indexed="64"/>
      </right>
      <top/>
      <bottom style="thin">
        <color theme="1"/>
      </bottom>
      <diagonal/>
    </border>
    <border>
      <left style="thin">
        <color theme="1"/>
      </left>
      <right style="thin">
        <color theme="1"/>
      </right>
      <top style="thin">
        <color indexed="64"/>
      </top>
      <bottom/>
      <diagonal/>
    </border>
    <border>
      <left style="thin">
        <color indexed="64"/>
      </left>
      <right style="thin">
        <color indexed="64"/>
      </right>
      <top style="thin">
        <color indexed="64"/>
      </top>
      <bottom style="dotted">
        <color rgb="FFF79646"/>
      </bottom>
      <diagonal/>
    </border>
    <border>
      <left style="thin">
        <color indexed="64"/>
      </left>
      <right style="thin">
        <color indexed="64"/>
      </right>
      <top style="dotted">
        <color rgb="FFF79646"/>
      </top>
      <bottom style="thin">
        <color indexed="64"/>
      </bottom>
      <diagonal/>
    </border>
    <border>
      <left style="thin">
        <color indexed="64"/>
      </left>
      <right/>
      <top style="thin">
        <color indexed="64"/>
      </top>
      <bottom style="dotted">
        <color rgb="FFF79646"/>
      </bottom>
      <diagonal/>
    </border>
    <border>
      <left style="thin">
        <color indexed="64"/>
      </left>
      <right/>
      <top style="dotted">
        <color rgb="FFF79646"/>
      </top>
      <bottom style="dotted">
        <color rgb="FFF79646"/>
      </bottom>
      <diagonal/>
    </border>
    <border>
      <left style="thin">
        <color indexed="64"/>
      </left>
      <right/>
      <top style="dotted">
        <color rgb="FFF79646"/>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theme="1"/>
      </right>
      <top/>
      <bottom style="thin">
        <color theme="1"/>
      </bottom>
      <diagonal/>
    </border>
    <border>
      <left style="thin">
        <color indexed="64"/>
      </left>
      <right/>
      <top/>
      <bottom style="thin">
        <color theme="1"/>
      </bottom>
      <diagonal/>
    </border>
    <border>
      <left style="thin">
        <color indexed="64"/>
      </left>
      <right style="thin">
        <color theme="1"/>
      </right>
      <top style="thin">
        <color indexed="64"/>
      </top>
      <bottom/>
      <diagonal/>
    </border>
    <border>
      <left style="thin">
        <color theme="1"/>
      </left>
      <right style="thin">
        <color indexed="64"/>
      </right>
      <top/>
      <bottom style="thin">
        <color theme="1"/>
      </bottom>
      <diagonal/>
    </border>
    <border>
      <left style="thin">
        <color theme="1"/>
      </left>
      <right/>
      <top style="thin">
        <color indexed="64"/>
      </top>
      <bottom/>
      <diagonal/>
    </border>
    <border>
      <left style="thin">
        <color theme="1"/>
      </left>
      <right/>
      <top style="thin">
        <color theme="1"/>
      </top>
      <bottom/>
      <diagonal/>
    </border>
    <border>
      <left style="thin">
        <color theme="1"/>
      </left>
      <right/>
      <top/>
      <bottom style="thin">
        <color theme="1"/>
      </bottom>
      <diagonal/>
    </border>
    <border>
      <left/>
      <right style="thin">
        <color theme="1"/>
      </right>
      <top style="thin">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s>
  <cellStyleXfs count="13">
    <xf numFmtId="0" fontId="0" fillId="0" borderId="0"/>
    <xf numFmtId="9" fontId="12" fillId="0" borderId="0" applyFont="0" applyFill="0" applyBorder="0" applyAlignment="0" applyProtection="0"/>
    <xf numFmtId="0" fontId="42" fillId="0" borderId="0"/>
    <xf numFmtId="0" fontId="43" fillId="0" borderId="0"/>
    <xf numFmtId="0" fontId="4" fillId="0" borderId="0"/>
    <xf numFmtId="0" fontId="71" fillId="0" borderId="0"/>
    <xf numFmtId="9" fontId="71" fillId="0" borderId="0" applyFont="0" applyFill="0" applyBorder="0" applyAlignment="0" applyProtection="0"/>
    <xf numFmtId="0" fontId="71" fillId="0" borderId="0"/>
    <xf numFmtId="9" fontId="71" fillId="0" borderId="0" applyFont="0" applyFill="0" applyBorder="0" applyAlignment="0" applyProtection="0"/>
    <xf numFmtId="0" fontId="71" fillId="0" borderId="0"/>
    <xf numFmtId="0" fontId="71" fillId="0" borderId="0"/>
    <xf numFmtId="0" fontId="71" fillId="0" borderId="0"/>
    <xf numFmtId="0" fontId="71" fillId="0" borderId="0"/>
  </cellStyleXfs>
  <cellXfs count="1020">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5" borderId="0" xfId="0" applyFont="1" applyFill="1" applyAlignment="1">
      <alignment horizontal="center" vertical="center" wrapText="1" readingOrder="1"/>
    </xf>
    <xf numFmtId="0" fontId="8" fillId="4" borderId="2" xfId="0" applyFont="1" applyFill="1" applyBorder="1" applyAlignment="1">
      <alignment horizontal="center" vertical="center" wrapText="1" readingOrder="1"/>
    </xf>
    <xf numFmtId="0" fontId="8" fillId="0" borderId="2" xfId="0" applyFont="1" applyBorder="1" applyAlignment="1">
      <alignment horizontal="justify" vertical="center" wrapText="1" readingOrder="1"/>
    </xf>
    <xf numFmtId="9" fontId="8" fillId="0" borderId="2" xfId="0" applyNumberFormat="1" applyFont="1" applyBorder="1" applyAlignment="1">
      <alignment horizontal="center" vertical="center" wrapText="1" readingOrder="1"/>
    </xf>
    <xf numFmtId="0" fontId="8" fillId="6"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3" borderId="1" xfId="0" applyFont="1" applyFill="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9" fillId="8" borderId="1" xfId="0" applyFont="1" applyFill="1" applyBorder="1" applyAlignment="1">
      <alignment horizontal="center" vertical="center" wrapText="1" readingOrder="1"/>
    </xf>
    <xf numFmtId="0" fontId="13" fillId="0" borderId="0" xfId="0" applyFont="1"/>
    <xf numFmtId="0" fontId="11" fillId="0" borderId="0" xfId="0" applyFont="1"/>
    <xf numFmtId="0" fontId="24" fillId="0" borderId="0" xfId="0" applyFont="1" applyAlignment="1">
      <alignment vertical="center"/>
    </xf>
    <xf numFmtId="0" fontId="25" fillId="0" borderId="0" xfId="0" applyFont="1"/>
    <xf numFmtId="0" fontId="23" fillId="0" borderId="0" xfId="0" applyFont="1"/>
    <xf numFmtId="0" fontId="0" fillId="0" borderId="0" xfId="0" pivotButton="1"/>
    <xf numFmtId="0" fontId="10" fillId="0" borderId="0" xfId="0" applyFont="1" applyAlignment="1">
      <alignment horizontal="justify" vertical="center" wrapText="1" readingOrder="1"/>
    </xf>
    <xf numFmtId="0" fontId="26" fillId="0" borderId="0" xfId="0" applyFont="1"/>
    <xf numFmtId="0" fontId="28" fillId="5" borderId="0" xfId="0" applyFont="1" applyFill="1" applyAlignment="1">
      <alignment horizontal="center" vertical="center" wrapText="1" readingOrder="1"/>
    </xf>
    <xf numFmtId="0" fontId="29" fillId="0" borderId="2" xfId="0" applyFont="1" applyBorder="1" applyAlignment="1">
      <alignment horizontal="justify" vertical="center" wrapText="1" readingOrder="1"/>
    </xf>
    <xf numFmtId="0" fontId="29" fillId="0" borderId="1" xfId="0" applyFont="1" applyBorder="1" applyAlignment="1">
      <alignment horizontal="justify" vertical="center" wrapText="1" readingOrder="1"/>
    </xf>
    <xf numFmtId="0" fontId="29" fillId="4" borderId="2" xfId="0" applyFont="1" applyFill="1" applyBorder="1" applyAlignment="1">
      <alignment horizontal="center" vertical="center" wrapText="1" readingOrder="1"/>
    </xf>
    <xf numFmtId="0" fontId="29" fillId="6" borderId="1" xfId="0" applyFont="1" applyFill="1" applyBorder="1" applyAlignment="1">
      <alignment horizontal="center" vertical="center" wrapText="1" readingOrder="1"/>
    </xf>
    <xf numFmtId="0" fontId="29" fillId="3" borderId="1" xfId="0" applyFont="1" applyFill="1" applyBorder="1" applyAlignment="1">
      <alignment horizontal="center" vertical="center" wrapText="1" readingOrder="1"/>
    </xf>
    <xf numFmtId="0" fontId="29" fillId="7"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29" fillId="0" borderId="2" xfId="0" applyFont="1" applyBorder="1" applyAlignment="1">
      <alignment horizontal="center" vertical="center" wrapText="1" readingOrder="1"/>
    </xf>
    <xf numFmtId="0" fontId="29" fillId="0" borderId="1" xfId="0" applyFont="1" applyBorder="1" applyAlignment="1">
      <alignment horizontal="center" vertical="center" wrapText="1" readingOrder="1"/>
    </xf>
    <xf numFmtId="0" fontId="16" fillId="10" borderId="0" xfId="0" applyFont="1" applyFill="1" applyAlignment="1" applyProtection="1">
      <alignment horizontal="center" vertical="center" wrapText="1" readingOrder="1"/>
      <protection hidden="1"/>
    </xf>
    <xf numFmtId="0" fontId="16" fillId="11" borderId="0" xfId="0" applyFont="1" applyFill="1" applyAlignment="1" applyProtection="1">
      <alignment horizontal="center" wrapText="1" readingOrder="1"/>
      <protection hidden="1"/>
    </xf>
    <xf numFmtId="0" fontId="16" fillId="12" borderId="0" xfId="0" applyFont="1" applyFill="1" applyAlignment="1" applyProtection="1">
      <alignment horizontal="center" wrapText="1" readingOrder="1"/>
      <protection hidden="1"/>
    </xf>
    <xf numFmtId="0" fontId="16" fillId="4" borderId="0" xfId="0" applyFont="1" applyFill="1" applyAlignment="1" applyProtection="1">
      <alignment horizontal="center" wrapText="1" readingOrder="1"/>
      <protection hidden="1"/>
    </xf>
    <xf numFmtId="0" fontId="0" fillId="2" borderId="0" xfId="0" applyFill="1"/>
    <xf numFmtId="0" fontId="44" fillId="2" borderId="30" xfId="2" applyFont="1" applyFill="1" applyBorder="1"/>
    <xf numFmtId="0" fontId="44" fillId="2" borderId="31" xfId="2" applyFont="1" applyFill="1" applyBorder="1"/>
    <xf numFmtId="0" fontId="44" fillId="2" borderId="32" xfId="2" applyFont="1" applyFill="1" applyBorder="1"/>
    <xf numFmtId="0" fontId="14" fillId="2" borderId="0" xfId="0" applyFont="1" applyFill="1" applyAlignment="1">
      <alignment vertical="center"/>
    </xf>
    <xf numFmtId="0" fontId="4" fillId="2" borderId="0" xfId="0" applyFont="1" applyFill="1"/>
    <xf numFmtId="0" fontId="32" fillId="2" borderId="0" xfId="0" applyFont="1" applyFill="1"/>
    <xf numFmtId="0" fontId="33" fillId="2" borderId="14" xfId="0" applyFont="1" applyFill="1" applyBorder="1" applyAlignment="1">
      <alignment horizontal="center" vertical="center" wrapText="1" readingOrder="1"/>
    </xf>
    <xf numFmtId="0" fontId="34" fillId="2" borderId="14" xfId="0" applyFont="1" applyFill="1" applyBorder="1" applyAlignment="1">
      <alignment horizontal="justify" vertical="center" wrapText="1" readingOrder="1"/>
    </xf>
    <xf numFmtId="9" fontId="33" fillId="2" borderId="23" xfId="0" applyNumberFormat="1" applyFont="1" applyFill="1" applyBorder="1" applyAlignment="1">
      <alignment horizontal="center" vertical="center" wrapText="1" readingOrder="1"/>
    </xf>
    <xf numFmtId="0" fontId="33" fillId="2" borderId="13" xfId="0" applyFont="1" applyFill="1" applyBorder="1" applyAlignment="1">
      <alignment horizontal="center" vertical="center" wrapText="1" readingOrder="1"/>
    </xf>
    <xf numFmtId="0" fontId="34" fillId="2" borderId="13" xfId="0" applyFont="1" applyFill="1" applyBorder="1" applyAlignment="1">
      <alignment horizontal="justify" vertical="center" wrapText="1" readingOrder="1"/>
    </xf>
    <xf numFmtId="9" fontId="33" fillId="2" borderId="18" xfId="0" applyNumberFormat="1" applyFont="1" applyFill="1" applyBorder="1" applyAlignment="1">
      <alignment horizontal="center" vertical="center" wrapText="1" readingOrder="1"/>
    </xf>
    <xf numFmtId="0" fontId="33" fillId="2" borderId="20" xfId="0" applyFont="1" applyFill="1" applyBorder="1" applyAlignment="1">
      <alignment horizontal="center" vertical="center" wrapText="1" readingOrder="1"/>
    </xf>
    <xf numFmtId="0" fontId="34" fillId="2" borderId="20" xfId="0" applyFont="1" applyFill="1" applyBorder="1" applyAlignment="1">
      <alignment horizontal="justify" vertical="center" wrapText="1" readingOrder="1"/>
    </xf>
    <xf numFmtId="0" fontId="41" fillId="2" borderId="0" xfId="0" applyFont="1" applyFill="1"/>
    <xf numFmtId="0" fontId="33" fillId="14" borderId="24" xfId="0" applyFont="1" applyFill="1" applyBorder="1" applyAlignment="1">
      <alignment horizontal="center" vertical="center" wrapText="1" readingOrder="1"/>
    </xf>
    <xf numFmtId="0" fontId="33" fillId="14" borderId="25" xfId="0" applyFont="1" applyFill="1" applyBorder="1" applyAlignment="1">
      <alignment horizontal="center" vertical="center" wrapText="1" readingOrder="1"/>
    </xf>
    <xf numFmtId="0" fontId="11" fillId="2" borderId="0" xfId="0" applyFont="1" applyFill="1"/>
    <xf numFmtId="0" fontId="27" fillId="2" borderId="0" xfId="0" applyFont="1" applyFill="1" applyAlignment="1">
      <alignment horizontal="center" vertical="center" wrapText="1"/>
    </xf>
    <xf numFmtId="0" fontId="10" fillId="2" borderId="0" xfId="0" applyFont="1" applyFill="1" applyAlignment="1">
      <alignment horizontal="justify" vertical="center" wrapText="1" readingOrder="1"/>
    </xf>
    <xf numFmtId="0" fontId="3" fillId="2" borderId="0" xfId="0" applyFont="1" applyFill="1" applyAlignment="1">
      <alignment vertical="center"/>
    </xf>
    <xf numFmtId="0" fontId="13" fillId="2" borderId="0" xfId="0" applyFont="1" applyFill="1"/>
    <xf numFmtId="0" fontId="3" fillId="2" borderId="0" xfId="0" applyFont="1" applyFill="1" applyAlignment="1">
      <alignment horizontal="left" vertical="center"/>
    </xf>
    <xf numFmtId="0" fontId="44" fillId="2" borderId="3" xfId="2" applyFont="1" applyFill="1" applyBorder="1"/>
    <xf numFmtId="0" fontId="44" fillId="2" borderId="4" xfId="2" applyFont="1" applyFill="1" applyBorder="1"/>
    <xf numFmtId="0" fontId="46" fillId="2" borderId="3" xfId="2" quotePrefix="1" applyFont="1" applyFill="1" applyBorder="1" applyAlignment="1">
      <alignment horizontal="left" vertical="top" wrapText="1"/>
    </xf>
    <xf numFmtId="0" fontId="47" fillId="2" borderId="4" xfId="2" quotePrefix="1" applyFont="1" applyFill="1" applyBorder="1" applyAlignment="1">
      <alignment horizontal="left" vertical="top" wrapText="1"/>
    </xf>
    <xf numFmtId="0" fontId="53" fillId="0" borderId="0" xfId="0" applyFont="1"/>
    <xf numFmtId="0" fontId="53" fillId="2" borderId="0" xfId="0" applyFont="1" applyFill="1" applyAlignment="1">
      <alignment vertical="center"/>
    </xf>
    <xf numFmtId="0" fontId="53" fillId="0" borderId="0" xfId="0" applyFont="1" applyAlignment="1">
      <alignment vertical="center"/>
    </xf>
    <xf numFmtId="0" fontId="53" fillId="0" borderId="0" xfId="0" applyFont="1" applyAlignment="1">
      <alignment horizontal="center" vertical="center"/>
    </xf>
    <xf numFmtId="0" fontId="53" fillId="0" borderId="0" xfId="0" applyFont="1" applyAlignment="1">
      <alignment horizontal="center"/>
    </xf>
    <xf numFmtId="0" fontId="16" fillId="10" borderId="64" xfId="0" applyFont="1" applyFill="1" applyBorder="1" applyAlignment="1" applyProtection="1">
      <alignment horizontal="center" vertical="center" wrapText="1" readingOrder="1"/>
      <protection hidden="1"/>
    </xf>
    <xf numFmtId="0" fontId="16" fillId="10" borderId="31" xfId="0" applyFont="1" applyFill="1" applyBorder="1" applyAlignment="1" applyProtection="1">
      <alignment horizontal="center" vertical="center" wrapText="1" readingOrder="1"/>
      <protection hidden="1"/>
    </xf>
    <xf numFmtId="0" fontId="16" fillId="10" borderId="65" xfId="0" applyFont="1" applyFill="1" applyBorder="1" applyAlignment="1" applyProtection="1">
      <alignment horizontal="center" vertical="center" wrapText="1" readingOrder="1"/>
      <protection hidden="1"/>
    </xf>
    <xf numFmtId="0" fontId="16" fillId="10" borderId="57" xfId="0" applyFont="1" applyFill="1" applyBorder="1" applyAlignment="1" applyProtection="1">
      <alignment horizontal="center" vertical="center" wrapText="1" readingOrder="1"/>
      <protection hidden="1"/>
    </xf>
    <xf numFmtId="0" fontId="16" fillId="10" borderId="55" xfId="0" applyFont="1" applyFill="1" applyBorder="1" applyAlignment="1" applyProtection="1">
      <alignment horizontal="center" vertical="center" wrapText="1" readingOrder="1"/>
      <protection hidden="1"/>
    </xf>
    <xf numFmtId="0" fontId="16" fillId="10" borderId="54" xfId="0" applyFont="1" applyFill="1" applyBorder="1" applyAlignment="1" applyProtection="1">
      <alignment horizontal="center" vertical="center" wrapText="1" readingOrder="1"/>
      <protection hidden="1"/>
    </xf>
    <xf numFmtId="0" fontId="16" fillId="10" borderId="48" xfId="0" applyFont="1" applyFill="1" applyBorder="1" applyAlignment="1" applyProtection="1">
      <alignment horizontal="center" vertical="center" wrapText="1" readingOrder="1"/>
      <protection hidden="1"/>
    </xf>
    <xf numFmtId="0" fontId="16" fillId="10" borderId="56" xfId="0" applyFont="1" applyFill="1" applyBorder="1" applyAlignment="1" applyProtection="1">
      <alignment horizontal="center" vertical="center" wrapText="1" readingOrder="1"/>
      <protection hidden="1"/>
    </xf>
    <xf numFmtId="0" fontId="16" fillId="11" borderId="64" xfId="0" applyFont="1" applyFill="1" applyBorder="1" applyAlignment="1" applyProtection="1">
      <alignment horizontal="center" wrapText="1" readingOrder="1"/>
      <protection hidden="1"/>
    </xf>
    <xf numFmtId="0" fontId="16" fillId="11" borderId="31" xfId="0" applyFont="1" applyFill="1" applyBorder="1" applyAlignment="1" applyProtection="1">
      <alignment horizontal="center" wrapText="1" readingOrder="1"/>
      <protection hidden="1"/>
    </xf>
    <xf numFmtId="0" fontId="16" fillId="11" borderId="65" xfId="0" applyFont="1" applyFill="1" applyBorder="1" applyAlignment="1" applyProtection="1">
      <alignment horizontal="center" wrapText="1" readingOrder="1"/>
      <protection hidden="1"/>
    </xf>
    <xf numFmtId="0" fontId="16" fillId="11" borderId="57" xfId="0" applyFont="1" applyFill="1" applyBorder="1" applyAlignment="1" applyProtection="1">
      <alignment horizontal="center" wrapText="1" readingOrder="1"/>
      <protection hidden="1"/>
    </xf>
    <xf numFmtId="0" fontId="16" fillId="11" borderId="55" xfId="0" applyFont="1" applyFill="1" applyBorder="1" applyAlignment="1" applyProtection="1">
      <alignment horizontal="center" wrapText="1" readingOrder="1"/>
      <protection hidden="1"/>
    </xf>
    <xf numFmtId="0" fontId="16" fillId="11" borderId="54" xfId="0" applyFont="1" applyFill="1" applyBorder="1" applyAlignment="1" applyProtection="1">
      <alignment horizontal="center" wrapText="1" readingOrder="1"/>
      <protection hidden="1"/>
    </xf>
    <xf numFmtId="0" fontId="16" fillId="11" borderId="48" xfId="0" applyFont="1" applyFill="1" applyBorder="1" applyAlignment="1" applyProtection="1">
      <alignment horizontal="center" wrapText="1" readingOrder="1"/>
      <protection hidden="1"/>
    </xf>
    <xf numFmtId="0" fontId="16" fillId="11" borderId="56" xfId="0" applyFont="1" applyFill="1" applyBorder="1" applyAlignment="1" applyProtection="1">
      <alignment horizontal="center" wrapText="1" readingOrder="1"/>
      <protection hidden="1"/>
    </xf>
    <xf numFmtId="0" fontId="16" fillId="12" borderId="64" xfId="0" applyFont="1" applyFill="1" applyBorder="1" applyAlignment="1" applyProtection="1">
      <alignment horizontal="center" wrapText="1" readingOrder="1"/>
      <protection hidden="1"/>
    </xf>
    <xf numFmtId="0" fontId="16" fillId="12" borderId="31" xfId="0" applyFont="1" applyFill="1" applyBorder="1" applyAlignment="1" applyProtection="1">
      <alignment horizontal="center" wrapText="1" readingOrder="1"/>
      <protection hidden="1"/>
    </xf>
    <xf numFmtId="0" fontId="16" fillId="12" borderId="65" xfId="0" applyFont="1" applyFill="1" applyBorder="1" applyAlignment="1" applyProtection="1">
      <alignment horizontal="center" wrapText="1" readingOrder="1"/>
      <protection hidden="1"/>
    </xf>
    <xf numFmtId="0" fontId="16" fillId="12" borderId="57" xfId="0" applyFont="1" applyFill="1" applyBorder="1" applyAlignment="1" applyProtection="1">
      <alignment horizontal="center" wrapText="1" readingOrder="1"/>
      <protection hidden="1"/>
    </xf>
    <xf numFmtId="0" fontId="16" fillId="12" borderId="55" xfId="0" applyFont="1" applyFill="1" applyBorder="1" applyAlignment="1" applyProtection="1">
      <alignment horizontal="center" wrapText="1" readingOrder="1"/>
      <protection hidden="1"/>
    </xf>
    <xf numFmtId="0" fontId="16" fillId="12" borderId="54" xfId="0" applyFont="1" applyFill="1" applyBorder="1" applyAlignment="1" applyProtection="1">
      <alignment horizontal="center" wrapText="1" readingOrder="1"/>
      <protection hidden="1"/>
    </xf>
    <xf numFmtId="0" fontId="16" fillId="12" borderId="48" xfId="0" applyFont="1" applyFill="1" applyBorder="1" applyAlignment="1" applyProtection="1">
      <alignment horizontal="center" wrapText="1" readingOrder="1"/>
      <protection hidden="1"/>
    </xf>
    <xf numFmtId="0" fontId="16" fillId="12" borderId="56" xfId="0" applyFont="1" applyFill="1" applyBorder="1" applyAlignment="1" applyProtection="1">
      <alignment horizontal="center" wrapText="1" readingOrder="1"/>
      <protection hidden="1"/>
    </xf>
    <xf numFmtId="0" fontId="16" fillId="4" borderId="64" xfId="0" applyFont="1" applyFill="1" applyBorder="1" applyAlignment="1" applyProtection="1">
      <alignment horizontal="center" wrapText="1" readingOrder="1"/>
      <protection hidden="1"/>
    </xf>
    <xf numFmtId="0" fontId="16" fillId="4" borderId="31" xfId="0" applyFont="1" applyFill="1" applyBorder="1" applyAlignment="1" applyProtection="1">
      <alignment horizontal="center" wrapText="1" readingOrder="1"/>
      <protection hidden="1"/>
    </xf>
    <xf numFmtId="0" fontId="16" fillId="4" borderId="65" xfId="0" applyFont="1" applyFill="1" applyBorder="1" applyAlignment="1" applyProtection="1">
      <alignment horizontal="center" wrapText="1" readingOrder="1"/>
      <protection hidden="1"/>
    </xf>
    <xf numFmtId="0" fontId="16" fillId="4" borderId="57" xfId="0" applyFont="1" applyFill="1" applyBorder="1" applyAlignment="1" applyProtection="1">
      <alignment horizontal="center" wrapText="1" readingOrder="1"/>
      <protection hidden="1"/>
    </xf>
    <xf numFmtId="0" fontId="16" fillId="4" borderId="55" xfId="0" applyFont="1" applyFill="1" applyBorder="1" applyAlignment="1" applyProtection="1">
      <alignment horizontal="center" wrapText="1" readingOrder="1"/>
      <protection hidden="1"/>
    </xf>
    <xf numFmtId="0" fontId="16" fillId="4" borderId="54" xfId="0" applyFont="1" applyFill="1" applyBorder="1" applyAlignment="1" applyProtection="1">
      <alignment horizontal="center" wrapText="1" readingOrder="1"/>
      <protection hidden="1"/>
    </xf>
    <xf numFmtId="0" fontId="16" fillId="4" borderId="48" xfId="0" applyFont="1" applyFill="1" applyBorder="1" applyAlignment="1" applyProtection="1">
      <alignment horizontal="center" wrapText="1" readingOrder="1"/>
      <protection hidden="1"/>
    </xf>
    <xf numFmtId="0" fontId="16" fillId="4" borderId="56" xfId="0" applyFont="1" applyFill="1" applyBorder="1" applyAlignment="1" applyProtection="1">
      <alignment horizontal="center" wrapText="1" readingOrder="1"/>
      <protection hidden="1"/>
    </xf>
    <xf numFmtId="0" fontId="20" fillId="12" borderId="31" xfId="0" applyFont="1" applyFill="1" applyBorder="1" applyAlignment="1" applyProtection="1">
      <alignment horizontal="center" wrapText="1" readingOrder="1"/>
      <protection hidden="1"/>
    </xf>
    <xf numFmtId="0" fontId="53" fillId="0" borderId="0" xfId="0" applyFont="1" applyAlignment="1">
      <alignment horizontal="center" vertical="center" wrapText="1"/>
    </xf>
    <xf numFmtId="0" fontId="2" fillId="0" borderId="2" xfId="0" applyFont="1" applyBorder="1" applyAlignment="1">
      <alignment horizontal="center" vertical="center" wrapText="1" readingOrder="1"/>
    </xf>
    <xf numFmtId="0" fontId="2" fillId="0" borderId="1" xfId="0" applyFont="1" applyBorder="1" applyAlignment="1">
      <alignment horizontal="center" vertical="center" wrapText="1" readingOrder="1"/>
    </xf>
    <xf numFmtId="0" fontId="2" fillId="2" borderId="0" xfId="0" applyFont="1" applyFill="1" applyAlignment="1">
      <alignment horizontal="justify" vertical="center" wrapText="1" readingOrder="1"/>
    </xf>
    <xf numFmtId="0" fontId="2" fillId="0" borderId="2" xfId="0" applyFont="1" applyBorder="1" applyAlignment="1">
      <alignment horizontal="justify" vertical="center" wrapText="1" readingOrder="1"/>
    </xf>
    <xf numFmtId="0" fontId="2" fillId="0" borderId="1" xfId="0" applyFont="1" applyBorder="1" applyAlignment="1">
      <alignment horizontal="justify" vertical="center" wrapText="1" readingOrder="1"/>
    </xf>
    <xf numFmtId="0" fontId="4" fillId="0" borderId="48" xfId="0" applyFont="1" applyBorder="1"/>
    <xf numFmtId="0" fontId="4" fillId="0" borderId="0" xfId="0" applyFont="1" applyAlignment="1">
      <alignment vertical="top"/>
    </xf>
    <xf numFmtId="0" fontId="4" fillId="0" borderId="67" xfId="0" applyFont="1" applyBorder="1"/>
    <xf numFmtId="0" fontId="4" fillId="0" borderId="74" xfId="0" applyFont="1" applyBorder="1"/>
    <xf numFmtId="0" fontId="4" fillId="0" borderId="14" xfId="0" applyFont="1" applyBorder="1"/>
    <xf numFmtId="0" fontId="65" fillId="0" borderId="74" xfId="0" applyFont="1" applyBorder="1"/>
    <xf numFmtId="0" fontId="65" fillId="0" borderId="74" xfId="0" applyFont="1" applyBorder="1" applyAlignment="1">
      <alignment vertical="top"/>
    </xf>
    <xf numFmtId="0" fontId="65" fillId="0" borderId="14" xfId="0" applyFont="1" applyBorder="1"/>
    <xf numFmtId="0" fontId="49" fillId="16" borderId="50" xfId="0" applyFont="1" applyFill="1" applyBorder="1" applyAlignment="1">
      <alignment horizontal="left" vertical="center" wrapText="1"/>
    </xf>
    <xf numFmtId="0" fontId="49" fillId="16" borderId="51" xfId="0" applyFont="1" applyFill="1" applyBorder="1" applyAlignment="1">
      <alignment horizontal="left" vertical="center" wrapText="1"/>
    </xf>
    <xf numFmtId="0" fontId="4" fillId="0" borderId="64" xfId="0" applyFont="1" applyBorder="1"/>
    <xf numFmtId="0" fontId="4" fillId="0" borderId="31" xfId="0" applyFont="1" applyBorder="1"/>
    <xf numFmtId="0" fontId="4" fillId="0" borderId="65" xfId="0" applyFont="1" applyBorder="1"/>
    <xf numFmtId="0" fontId="4" fillId="0" borderId="57" xfId="0" applyFont="1" applyBorder="1"/>
    <xf numFmtId="0" fontId="4" fillId="0" borderId="0" xfId="0" applyFont="1" applyBorder="1"/>
    <xf numFmtId="0" fontId="4" fillId="0" borderId="55" xfId="0" applyFont="1" applyBorder="1"/>
    <xf numFmtId="0" fontId="4" fillId="0" borderId="54" xfId="0" applyFont="1" applyBorder="1"/>
    <xf numFmtId="0" fontId="4" fillId="0" borderId="56" xfId="0" applyFont="1" applyBorder="1"/>
    <xf numFmtId="0" fontId="2" fillId="0" borderId="97" xfId="0" applyFont="1" applyBorder="1" applyAlignment="1">
      <alignment horizontal="left" vertical="center" wrapText="1" indent="1" readingOrder="1"/>
    </xf>
    <xf numFmtId="0" fontId="2" fillId="0" borderId="98" xfId="0" applyFont="1" applyBorder="1" applyAlignment="1">
      <alignment horizontal="left" vertical="center" wrapText="1" indent="1" readingOrder="1"/>
    </xf>
    <xf numFmtId="0" fontId="4" fillId="0" borderId="0" xfId="0" applyFont="1" applyAlignment="1"/>
    <xf numFmtId="0" fontId="65" fillId="0" borderId="69" xfId="0" applyFont="1" applyBorder="1"/>
    <xf numFmtId="0" fontId="65" fillId="0" borderId="55" xfId="0" applyFont="1" applyBorder="1"/>
    <xf numFmtId="0" fontId="2" fillId="18" borderId="99" xfId="0" applyFont="1" applyFill="1" applyBorder="1" applyAlignment="1">
      <alignment horizontal="left" vertical="center" wrapText="1" indent="1" readingOrder="1"/>
    </xf>
    <xf numFmtId="0" fontId="2" fillId="18" borderId="100" xfId="0" applyFont="1" applyFill="1" applyBorder="1" applyAlignment="1">
      <alignment horizontal="left" vertical="center" wrapText="1" indent="1" readingOrder="1"/>
    </xf>
    <xf numFmtId="0" fontId="2" fillId="18" borderId="101" xfId="0" applyFont="1" applyFill="1" applyBorder="1" applyAlignment="1">
      <alignment horizontal="left" vertical="center" wrapText="1" indent="1" readingOrder="1"/>
    </xf>
    <xf numFmtId="0" fontId="53" fillId="0" borderId="0" xfId="0" applyFont="1"/>
    <xf numFmtId="0" fontId="53" fillId="0" borderId="13" xfId="0" applyFont="1" applyBorder="1"/>
    <xf numFmtId="0" fontId="65" fillId="0" borderId="54" xfId="0" applyFont="1" applyBorder="1" applyAlignment="1" applyProtection="1">
      <alignment horizontal="center" vertical="center" textRotation="90"/>
      <protection locked="0"/>
    </xf>
    <xf numFmtId="164" fontId="65" fillId="0" borderId="58" xfId="1" applyNumberFormat="1" applyFont="1" applyBorder="1" applyAlignment="1">
      <alignment horizontal="center" vertical="center"/>
    </xf>
    <xf numFmtId="0" fontId="69" fillId="0" borderId="56" xfId="0" applyFont="1" applyBorder="1" applyAlignment="1" applyProtection="1">
      <alignment horizontal="center" vertical="center" textRotation="90" wrapText="1"/>
      <protection hidden="1"/>
    </xf>
    <xf numFmtId="9" fontId="65" fillId="0" borderId="13" xfId="0" applyNumberFormat="1" applyFont="1" applyBorder="1" applyAlignment="1" applyProtection="1">
      <alignment horizontal="center" vertical="center"/>
      <protection hidden="1"/>
    </xf>
    <xf numFmtId="0" fontId="65" fillId="0" borderId="13" xfId="0" applyFont="1" applyBorder="1" applyAlignment="1" applyProtection="1">
      <alignment horizontal="center" vertical="center"/>
      <protection hidden="1"/>
    </xf>
    <xf numFmtId="164" fontId="65" fillId="0" borderId="13" xfId="1" applyNumberFormat="1" applyFont="1" applyBorder="1" applyAlignment="1">
      <alignment horizontal="center" vertical="center"/>
    </xf>
    <xf numFmtId="0" fontId="69" fillId="0" borderId="69" xfId="0" applyFont="1" applyBorder="1" applyAlignment="1" applyProtection="1">
      <alignment horizontal="center" vertical="center" textRotation="90" wrapText="1"/>
      <protection hidden="1"/>
    </xf>
    <xf numFmtId="0" fontId="69" fillId="0" borderId="13" xfId="0" applyFont="1" applyBorder="1" applyAlignment="1" applyProtection="1">
      <alignment horizontal="center" vertical="center" textRotation="90" wrapText="1"/>
      <protection hidden="1"/>
    </xf>
    <xf numFmtId="0" fontId="65" fillId="2" borderId="13" xfId="0" applyFont="1" applyFill="1" applyBorder="1" applyAlignment="1">
      <alignment horizontal="center" vertical="center"/>
    </xf>
    <xf numFmtId="0" fontId="65" fillId="2" borderId="13" xfId="0" applyFont="1" applyFill="1" applyBorder="1" applyAlignment="1" applyProtection="1">
      <alignment horizontal="center" vertical="center" textRotation="90"/>
      <protection locked="0"/>
    </xf>
    <xf numFmtId="0" fontId="65" fillId="2" borderId="13" xfId="0" applyFont="1" applyFill="1" applyBorder="1" applyAlignment="1" applyProtection="1">
      <alignment horizontal="center" vertical="center"/>
      <protection locked="0"/>
    </xf>
    <xf numFmtId="0" fontId="69" fillId="0" borderId="77" xfId="0" applyFont="1" applyBorder="1" applyAlignment="1" applyProtection="1">
      <alignment horizontal="center" vertical="center" textRotation="90" wrapText="1"/>
      <protection hidden="1"/>
    </xf>
    <xf numFmtId="0" fontId="65" fillId="0" borderId="76" xfId="0" applyFont="1" applyBorder="1" applyAlignment="1" applyProtection="1">
      <alignment horizontal="center" vertical="center"/>
      <protection hidden="1"/>
    </xf>
    <xf numFmtId="0" fontId="65" fillId="0" borderId="76" xfId="0" applyFont="1" applyBorder="1" applyAlignment="1" applyProtection="1">
      <alignment horizontal="center" vertical="center" textRotation="90"/>
      <protection locked="0"/>
    </xf>
    <xf numFmtId="9" fontId="65" fillId="0" borderId="76" xfId="0" applyNumberFormat="1" applyFont="1" applyBorder="1" applyAlignment="1" applyProtection="1">
      <alignment horizontal="center" vertical="center"/>
      <protection hidden="1"/>
    </xf>
    <xf numFmtId="0" fontId="65" fillId="0" borderId="85" xfId="0" applyFont="1" applyBorder="1" applyAlignment="1" applyProtection="1">
      <alignment horizontal="center" vertical="center" textRotation="90"/>
      <protection locked="0"/>
    </xf>
    <xf numFmtId="0" fontId="65" fillId="0" borderId="86" xfId="0" applyFont="1" applyBorder="1" applyAlignment="1" applyProtection="1">
      <alignment horizontal="center" vertical="center" textRotation="90"/>
      <protection locked="0"/>
    </xf>
    <xf numFmtId="0" fontId="65" fillId="0" borderId="87" xfId="0" applyFont="1" applyBorder="1" applyAlignment="1" applyProtection="1">
      <alignment horizontal="center" vertical="center" textRotation="90"/>
      <protection locked="0"/>
    </xf>
    <xf numFmtId="0" fontId="65" fillId="0" borderId="82" xfId="0" applyFont="1" applyBorder="1" applyAlignment="1" applyProtection="1">
      <alignment horizontal="center" vertical="center"/>
      <protection hidden="1"/>
    </xf>
    <xf numFmtId="9" fontId="65" fillId="0" borderId="54" xfId="0" applyNumberFormat="1" applyFont="1" applyBorder="1" applyAlignment="1" applyProtection="1">
      <alignment horizontal="center" vertical="center"/>
      <protection hidden="1"/>
    </xf>
    <xf numFmtId="0" fontId="65" fillId="0" borderId="73" xfId="0" applyFont="1" applyBorder="1" applyAlignment="1">
      <alignment horizontal="center" vertical="center"/>
    </xf>
    <xf numFmtId="0" fontId="65" fillId="0" borderId="56" xfId="0" applyFont="1" applyBorder="1" applyAlignment="1" applyProtection="1">
      <alignment horizontal="center" vertical="center"/>
      <protection hidden="1"/>
    </xf>
    <xf numFmtId="0" fontId="65" fillId="0" borderId="60" xfId="0" applyFont="1" applyBorder="1" applyAlignment="1">
      <alignment horizontal="center" vertical="center"/>
    </xf>
    <xf numFmtId="0" fontId="65" fillId="0" borderId="77" xfId="0" applyFont="1" applyBorder="1" applyAlignment="1" applyProtection="1">
      <alignment horizontal="center" vertical="center"/>
      <protection hidden="1"/>
    </xf>
    <xf numFmtId="0" fontId="65" fillId="0" borderId="62" xfId="0" applyFont="1" applyBorder="1" applyAlignment="1" applyProtection="1">
      <alignment horizontal="center" vertical="center"/>
      <protection locked="0"/>
    </xf>
    <xf numFmtId="0" fontId="65" fillId="0" borderId="58" xfId="0" applyFont="1" applyBorder="1" applyAlignment="1">
      <alignment horizontal="center" vertical="center"/>
    </xf>
    <xf numFmtId="49" fontId="65" fillId="0" borderId="13" xfId="0" applyNumberFormat="1" applyFont="1" applyBorder="1" applyAlignment="1">
      <alignment horizontal="center" vertical="center" wrapText="1"/>
    </xf>
    <xf numFmtId="9" fontId="65" fillId="0" borderId="82" xfId="0" applyNumberFormat="1" applyFont="1" applyBorder="1" applyAlignment="1" applyProtection="1">
      <alignment horizontal="center" vertical="center"/>
      <protection hidden="1"/>
    </xf>
    <xf numFmtId="0" fontId="65" fillId="0" borderId="79" xfId="0" applyFont="1" applyBorder="1" applyAlignment="1" applyProtection="1">
      <alignment horizontal="center" vertical="center" textRotation="90"/>
      <protection locked="0"/>
    </xf>
    <xf numFmtId="0" fontId="65" fillId="0" borderId="78" xfId="0" applyFont="1" applyBorder="1" applyAlignment="1" applyProtection="1">
      <alignment horizontal="center" vertical="center" textRotation="90"/>
      <protection locked="0"/>
    </xf>
    <xf numFmtId="0" fontId="65" fillId="0" borderId="75" xfId="0" applyFont="1" applyBorder="1" applyAlignment="1" applyProtection="1">
      <alignment horizontal="center" vertical="center" textRotation="90"/>
      <protection locked="0"/>
    </xf>
    <xf numFmtId="0" fontId="69" fillId="0" borderId="88" xfId="0" applyFont="1" applyBorder="1" applyAlignment="1" applyProtection="1">
      <alignment horizontal="center" vertical="center" textRotation="90" wrapText="1"/>
      <protection hidden="1"/>
    </xf>
    <xf numFmtId="0" fontId="65" fillId="0" borderId="72" xfId="0" applyFont="1" applyBorder="1" applyAlignment="1">
      <alignment horizontal="center" vertical="center"/>
    </xf>
    <xf numFmtId="0" fontId="65" fillId="0" borderId="63" xfId="0" applyFont="1" applyBorder="1" applyAlignment="1">
      <alignment horizontal="center" vertical="center"/>
    </xf>
    <xf numFmtId="9" fontId="65" fillId="0" borderId="57" xfId="0" applyNumberFormat="1" applyFont="1" applyBorder="1" applyAlignment="1" applyProtection="1">
      <alignment horizontal="center" vertical="center"/>
      <protection hidden="1"/>
    </xf>
    <xf numFmtId="0" fontId="65" fillId="0" borderId="74" xfId="0" applyFont="1" applyBorder="1" applyAlignment="1" applyProtection="1">
      <alignment horizontal="center" vertical="center"/>
      <protection hidden="1"/>
    </xf>
    <xf numFmtId="0" fontId="69" fillId="0" borderId="54" xfId="0" applyFont="1" applyBorder="1" applyAlignment="1" applyProtection="1">
      <alignment horizontal="center" vertical="center" textRotation="90"/>
      <protection hidden="1"/>
    </xf>
    <xf numFmtId="0" fontId="69" fillId="0" borderId="70" xfId="0" applyFont="1" applyBorder="1" applyAlignment="1" applyProtection="1">
      <alignment horizontal="center" vertical="center" textRotation="90"/>
      <protection hidden="1"/>
    </xf>
    <xf numFmtId="0" fontId="65" fillId="2" borderId="1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wrapText="1"/>
      <protection locked="0"/>
    </xf>
    <xf numFmtId="0" fontId="65" fillId="0" borderId="58" xfId="0" applyFont="1" applyBorder="1" applyAlignment="1" applyProtection="1">
      <alignment horizontal="center" vertical="center" wrapText="1"/>
      <protection locked="0"/>
    </xf>
    <xf numFmtId="0" fontId="73" fillId="0" borderId="91" xfId="0" applyFont="1" applyBorder="1" applyAlignment="1" applyProtection="1">
      <alignment horizontal="center" vertical="center" wrapText="1"/>
      <protection locked="0"/>
    </xf>
    <xf numFmtId="0" fontId="73" fillId="2" borderId="13" xfId="0" applyFont="1" applyFill="1" applyBorder="1" applyAlignment="1">
      <alignment horizontal="center" vertical="center"/>
    </xf>
    <xf numFmtId="0" fontId="73" fillId="0" borderId="57" xfId="0" applyFont="1" applyBorder="1" applyAlignment="1">
      <alignment horizontal="center" vertical="center" wrapText="1"/>
    </xf>
    <xf numFmtId="0" fontId="66" fillId="2" borderId="13" xfId="0" applyFont="1" applyFill="1" applyBorder="1" applyAlignment="1">
      <alignment horizontal="center" vertical="center"/>
    </xf>
    <xf numFmtId="0" fontId="67" fillId="2" borderId="13" xfId="0" applyFont="1" applyFill="1" applyBorder="1" applyAlignment="1">
      <alignment horizontal="center" vertical="center" textRotation="90" wrapText="1"/>
    </xf>
    <xf numFmtId="0" fontId="73" fillId="2" borderId="70" xfId="0" applyFont="1" applyFill="1" applyBorder="1" applyAlignment="1" applyProtection="1">
      <alignment horizontal="center" vertical="center" wrapText="1"/>
      <protection locked="0"/>
    </xf>
    <xf numFmtId="0" fontId="53" fillId="18" borderId="0" xfId="0" applyFont="1" applyFill="1"/>
    <xf numFmtId="0" fontId="53" fillId="15" borderId="0" xfId="0" applyFont="1" applyFill="1"/>
    <xf numFmtId="0" fontId="54" fillId="15" borderId="0" xfId="0" applyFont="1" applyFill="1" applyAlignment="1">
      <alignment horizontal="center" vertical="center"/>
    </xf>
    <xf numFmtId="0" fontId="53" fillId="19" borderId="0" xfId="0" applyFont="1" applyFill="1"/>
    <xf numFmtId="0" fontId="65" fillId="0" borderId="14" xfId="0" applyFont="1" applyBorder="1" applyAlignment="1">
      <alignment horizontal="center" vertical="top" wrapText="1"/>
    </xf>
    <xf numFmtId="164" fontId="65" fillId="0" borderId="60" xfId="1" applyNumberFormat="1" applyFont="1" applyBorder="1" applyAlignment="1">
      <alignment horizontal="center" vertical="center"/>
    </xf>
    <xf numFmtId="164" fontId="65" fillId="0" borderId="60" xfId="1" applyNumberFormat="1" applyFont="1" applyFill="1" applyBorder="1" applyAlignment="1">
      <alignment horizontal="center" vertical="center"/>
    </xf>
    <xf numFmtId="0" fontId="69" fillId="20" borderId="68" xfId="0" applyFont="1" applyFill="1" applyBorder="1" applyAlignment="1">
      <alignment horizontal="center" vertical="center" wrapText="1"/>
    </xf>
    <xf numFmtId="0" fontId="77" fillId="20" borderId="26" xfId="0" applyFont="1" applyFill="1" applyBorder="1" applyAlignment="1">
      <alignment horizontal="center" vertical="center" wrapText="1"/>
    </xf>
    <xf numFmtId="0" fontId="77" fillId="21" borderId="104" xfId="0" applyFont="1" applyFill="1" applyBorder="1" applyAlignment="1">
      <alignment horizontal="center" vertical="center"/>
    </xf>
    <xf numFmtId="0" fontId="77" fillId="21" borderId="6" xfId="0" applyFont="1" applyFill="1" applyBorder="1" applyAlignment="1">
      <alignment horizontal="center" vertical="center"/>
    </xf>
    <xf numFmtId="9" fontId="2" fillId="2" borderId="18" xfId="0" applyNumberFormat="1" applyFont="1" applyFill="1" applyBorder="1" applyAlignment="1">
      <alignment horizontal="center" vertical="center" wrapText="1" readingOrder="1"/>
    </xf>
    <xf numFmtId="9" fontId="2" fillId="2" borderId="21" xfId="0" applyNumberFormat="1" applyFont="1" applyFill="1" applyBorder="1" applyAlignment="1">
      <alignment horizontal="center" vertical="center" wrapText="1" readingOrder="1"/>
    </xf>
    <xf numFmtId="0" fontId="66" fillId="19" borderId="59" xfId="0" applyFont="1" applyFill="1" applyBorder="1" applyAlignment="1">
      <alignment horizontal="center" vertical="center"/>
    </xf>
    <xf numFmtId="0" fontId="66" fillId="19" borderId="73" xfId="0" applyFont="1" applyFill="1" applyBorder="1" applyAlignment="1">
      <alignment horizontal="center" vertical="center"/>
    </xf>
    <xf numFmtId="164" fontId="65" fillId="0" borderId="90" xfId="1" applyNumberFormat="1" applyFont="1" applyBorder="1" applyAlignment="1">
      <alignment horizontal="center" vertical="center"/>
    </xf>
    <xf numFmtId="0" fontId="66" fillId="15" borderId="63" xfId="0" applyFont="1" applyFill="1" applyBorder="1" applyAlignment="1">
      <alignment horizontal="center" vertical="center" textRotation="90"/>
    </xf>
    <xf numFmtId="0" fontId="66" fillId="15" borderId="66" xfId="0" applyFont="1" applyFill="1" applyBorder="1" applyAlignment="1">
      <alignment horizontal="center" vertical="center" textRotation="90"/>
    </xf>
    <xf numFmtId="0" fontId="73" fillId="0" borderId="13" xfId="0" applyFont="1" applyBorder="1" applyAlignment="1">
      <alignment horizontal="center" vertical="center"/>
    </xf>
    <xf numFmtId="164" fontId="65" fillId="0" borderId="73" xfId="1" applyNumberFormat="1" applyFont="1" applyBorder="1" applyAlignment="1">
      <alignment horizontal="center" vertical="center"/>
    </xf>
    <xf numFmtId="0" fontId="69" fillId="0" borderId="65" xfId="0" applyFont="1" applyBorder="1" applyAlignment="1" applyProtection="1">
      <alignment horizontal="center" vertical="center" textRotation="90" wrapText="1"/>
      <protection hidden="1"/>
    </xf>
    <xf numFmtId="9" fontId="65" fillId="0" borderId="89" xfId="0" applyNumberFormat="1" applyFont="1" applyBorder="1" applyAlignment="1" applyProtection="1">
      <alignment horizontal="center" vertical="center" wrapText="1"/>
      <protection hidden="1"/>
    </xf>
    <xf numFmtId="0" fontId="66" fillId="15" borderId="70" xfId="0" applyFont="1" applyFill="1" applyBorder="1" applyAlignment="1">
      <alignment horizontal="center" vertical="center" wrapText="1"/>
    </xf>
    <xf numFmtId="0" fontId="74" fillId="18" borderId="81" xfId="0" applyFont="1" applyFill="1" applyBorder="1" applyAlignment="1">
      <alignment horizontal="center" vertical="center" wrapText="1"/>
    </xf>
    <xf numFmtId="0" fontId="66" fillId="18" borderId="14" xfId="0" applyFont="1" applyFill="1" applyBorder="1" applyAlignment="1">
      <alignment horizontal="center" vertical="center" wrapText="1"/>
    </xf>
    <xf numFmtId="0" fontId="66" fillId="18" borderId="13" xfId="0" applyFont="1" applyFill="1" applyBorder="1" applyAlignment="1">
      <alignment horizontal="center" vertical="center"/>
    </xf>
    <xf numFmtId="0" fontId="65" fillId="0" borderId="69" xfId="0" applyFont="1" applyBorder="1" applyAlignment="1" applyProtection="1">
      <alignment horizontal="center" vertical="center" wrapText="1"/>
      <protection locked="0"/>
    </xf>
    <xf numFmtId="0" fontId="65" fillId="0" borderId="54" xfId="0" applyFont="1" applyBorder="1" applyAlignment="1" applyProtection="1">
      <alignment horizontal="center" vertical="center" wrapText="1"/>
      <protection locked="0"/>
    </xf>
    <xf numFmtId="0" fontId="65" fillId="0" borderId="57" xfId="0" applyFont="1" applyBorder="1" applyAlignment="1" applyProtection="1">
      <alignment horizontal="center" vertical="center" wrapText="1"/>
      <protection locked="0"/>
    </xf>
    <xf numFmtId="0" fontId="65" fillId="0" borderId="55" xfId="0" applyFont="1" applyBorder="1" applyAlignment="1" applyProtection="1">
      <alignment horizontal="center" vertical="center" wrapText="1"/>
      <protection locked="0"/>
    </xf>
    <xf numFmtId="0" fontId="69" fillId="0" borderId="13" xfId="0" applyFont="1" applyBorder="1" applyAlignment="1" applyProtection="1">
      <alignment horizontal="center" vertical="center" textRotation="90"/>
      <protection hidden="1"/>
    </xf>
    <xf numFmtId="9" fontId="65" fillId="0" borderId="13" xfId="0" applyNumberFormat="1" applyFont="1" applyBorder="1" applyAlignment="1" applyProtection="1">
      <alignment horizontal="center" vertical="center" wrapText="1"/>
      <protection hidden="1"/>
    </xf>
    <xf numFmtId="0" fontId="69" fillId="0" borderId="13" xfId="0" applyFont="1" applyBorder="1" applyAlignment="1" applyProtection="1">
      <alignment horizontal="center" vertical="center"/>
      <protection hidden="1"/>
    </xf>
    <xf numFmtId="0" fontId="65" fillId="0" borderId="13" xfId="0" applyFont="1" applyBorder="1" applyAlignment="1" applyProtection="1">
      <alignment horizontal="center" vertical="center"/>
      <protection locked="0"/>
    </xf>
    <xf numFmtId="0" fontId="69" fillId="0" borderId="13" xfId="0" applyFont="1" applyBorder="1" applyAlignment="1" applyProtection="1">
      <alignment horizontal="center" vertical="center" wrapText="1"/>
      <protection hidden="1"/>
    </xf>
    <xf numFmtId="9" fontId="65" fillId="0" borderId="74" xfId="0" applyNumberFormat="1" applyFont="1" applyBorder="1" applyAlignment="1" applyProtection="1">
      <alignment horizontal="center" vertical="center"/>
      <protection hidden="1"/>
    </xf>
    <xf numFmtId="0" fontId="65" fillId="0" borderId="13" xfId="0" applyFont="1" applyBorder="1" applyAlignment="1">
      <alignment horizontal="center" vertical="center"/>
    </xf>
    <xf numFmtId="9" fontId="65" fillId="0" borderId="110" xfId="0" applyNumberFormat="1" applyFont="1" applyBorder="1" applyAlignment="1" applyProtection="1">
      <alignment horizontal="center" vertical="center" wrapText="1"/>
      <protection hidden="1"/>
    </xf>
    <xf numFmtId="0" fontId="65" fillId="0" borderId="58" xfId="0" applyFont="1" applyBorder="1" applyAlignment="1" applyProtection="1">
      <alignment horizontal="center" vertical="center"/>
      <protection locked="0"/>
    </xf>
    <xf numFmtId="0" fontId="69" fillId="0" borderId="58" xfId="0" applyFont="1" applyBorder="1" applyAlignment="1" applyProtection="1">
      <alignment horizontal="center" vertical="center" wrapText="1"/>
      <protection hidden="1"/>
    </xf>
    <xf numFmtId="9" fontId="65" fillId="0" borderId="58" xfId="0" applyNumberFormat="1" applyFont="1" applyBorder="1" applyAlignment="1" applyProtection="1">
      <alignment horizontal="center" vertical="center" wrapText="1"/>
      <protection hidden="1"/>
    </xf>
    <xf numFmtId="0" fontId="65" fillId="17" borderId="13" xfId="0" applyFont="1" applyFill="1" applyBorder="1" applyAlignment="1">
      <alignment horizontal="center" vertical="center" wrapText="1"/>
    </xf>
    <xf numFmtId="9" fontId="65" fillId="0" borderId="60" xfId="0" applyNumberFormat="1" applyFont="1" applyBorder="1" applyAlignment="1" applyProtection="1">
      <alignment horizontal="center" vertical="center" wrapText="1"/>
      <protection hidden="1"/>
    </xf>
    <xf numFmtId="0" fontId="69" fillId="0" borderId="58" xfId="0" applyFont="1" applyBorder="1" applyAlignment="1" applyProtection="1">
      <alignment horizontal="center" vertical="center"/>
      <protection hidden="1"/>
    </xf>
    <xf numFmtId="9" fontId="65" fillId="0" borderId="55" xfId="0" applyNumberFormat="1" applyFont="1" applyBorder="1" applyAlignment="1" applyProtection="1">
      <alignment horizontal="center" vertical="center" wrapText="1"/>
      <protection hidden="1"/>
    </xf>
    <xf numFmtId="0" fontId="65" fillId="0" borderId="82" xfId="0" applyFont="1" applyBorder="1" applyAlignment="1" applyProtection="1">
      <alignment horizontal="center" vertical="center" textRotation="90"/>
      <protection locked="0"/>
    </xf>
    <xf numFmtId="9" fontId="65" fillId="0" borderId="90" xfId="0" applyNumberFormat="1" applyFont="1" applyBorder="1" applyAlignment="1" applyProtection="1">
      <alignment horizontal="center" vertical="center" wrapText="1"/>
      <protection hidden="1"/>
    </xf>
    <xf numFmtId="0" fontId="42" fillId="17" borderId="67" xfId="0" applyFont="1" applyFill="1" applyBorder="1" applyAlignment="1">
      <alignment horizontal="center" vertical="center" wrapText="1"/>
    </xf>
    <xf numFmtId="0" fontId="42" fillId="17" borderId="14" xfId="0" applyFont="1" applyFill="1" applyBorder="1" applyAlignment="1">
      <alignment horizontal="center" vertical="center" wrapText="1"/>
    </xf>
    <xf numFmtId="0" fontId="65" fillId="2" borderId="69" xfId="0" applyFont="1" applyFill="1" applyBorder="1" applyAlignment="1" applyProtection="1">
      <alignment horizontal="center" vertical="center" wrapText="1"/>
      <protection locked="0"/>
    </xf>
    <xf numFmtId="0" fontId="53" fillId="0" borderId="14" xfId="0" applyFont="1" applyBorder="1" applyAlignment="1"/>
    <xf numFmtId="0" fontId="53" fillId="2" borderId="0" xfId="0" applyFont="1" applyFill="1"/>
    <xf numFmtId="0" fontId="4" fillId="0" borderId="74" xfId="0" applyFont="1" applyBorder="1" applyAlignment="1">
      <alignment horizontal="left"/>
    </xf>
    <xf numFmtId="0" fontId="4" fillId="0" borderId="14" xfId="0" applyFont="1" applyBorder="1" applyAlignment="1">
      <alignment horizontal="left"/>
    </xf>
    <xf numFmtId="0" fontId="53" fillId="2" borderId="0" xfId="0" applyFont="1" applyFill="1" applyBorder="1" applyAlignment="1"/>
    <xf numFmtId="0" fontId="53" fillId="2" borderId="14" xfId="0" applyFont="1" applyFill="1" applyBorder="1" applyAlignment="1"/>
    <xf numFmtId="0" fontId="54" fillId="2" borderId="0" xfId="0" applyFont="1" applyFill="1" applyAlignment="1">
      <alignment horizontal="center" vertical="center"/>
    </xf>
    <xf numFmtId="0" fontId="59" fillId="2" borderId="0" xfId="0" applyFont="1" applyFill="1" applyAlignment="1">
      <alignment horizontal="center" vertical="center"/>
    </xf>
    <xf numFmtId="0" fontId="53" fillId="0" borderId="69" xfId="0" applyFont="1" applyBorder="1"/>
    <xf numFmtId="0" fontId="53" fillId="2" borderId="0" xfId="0" applyFont="1" applyFill="1" applyBorder="1"/>
    <xf numFmtId="0" fontId="65" fillId="0" borderId="56" xfId="0" applyFont="1" applyBorder="1" applyAlignment="1" applyProtection="1">
      <alignment horizontal="center" vertical="center" textRotation="90"/>
      <protection locked="0"/>
    </xf>
    <xf numFmtId="0" fontId="82" fillId="0" borderId="54" xfId="0" applyFont="1" applyBorder="1" applyAlignment="1" applyProtection="1">
      <alignment horizontal="center" vertical="center" wrapText="1"/>
      <protection locked="0"/>
    </xf>
    <xf numFmtId="0" fontId="42" fillId="0" borderId="54" xfId="0" applyFont="1" applyBorder="1" applyAlignment="1" applyProtection="1">
      <alignment horizontal="center" vertical="center" wrapText="1"/>
      <protection locked="0"/>
    </xf>
    <xf numFmtId="0" fontId="82" fillId="0" borderId="13" xfId="0" applyFont="1" applyBorder="1" applyAlignment="1" applyProtection="1">
      <alignment horizontal="center" vertical="center" wrapText="1"/>
      <protection locked="0"/>
    </xf>
    <xf numFmtId="0" fontId="42" fillId="0" borderId="13" xfId="0" applyFont="1" applyBorder="1" applyAlignment="1">
      <alignment horizontal="center" vertical="center" wrapText="1"/>
    </xf>
    <xf numFmtId="0" fontId="65" fillId="0" borderId="13" xfId="0" applyFont="1" applyBorder="1" applyAlignment="1" applyProtection="1">
      <alignment horizontal="center" vertical="center" textRotation="90"/>
      <protection locked="0"/>
    </xf>
    <xf numFmtId="0" fontId="65" fillId="0" borderId="13" xfId="0" applyFont="1" applyBorder="1" applyAlignment="1" applyProtection="1">
      <alignment horizontal="center" vertical="center" textRotation="90" wrapText="1"/>
      <protection locked="0"/>
    </xf>
    <xf numFmtId="0" fontId="65" fillId="0" borderId="74" xfId="0" applyFont="1" applyBorder="1" applyAlignment="1" applyProtection="1">
      <alignment horizontal="center" vertical="center" textRotation="90"/>
      <protection locked="0"/>
    </xf>
    <xf numFmtId="0" fontId="4" fillId="0" borderId="67" xfId="0" applyFont="1" applyBorder="1" applyAlignment="1">
      <alignment horizontal="left"/>
    </xf>
    <xf numFmtId="0" fontId="0" fillId="0" borderId="0" xfId="0"/>
    <xf numFmtId="0" fontId="13" fillId="0" borderId="0" xfId="0" applyFont="1"/>
    <xf numFmtId="0" fontId="32" fillId="0" borderId="0" xfId="0" applyFont="1"/>
    <xf numFmtId="0" fontId="73" fillId="0" borderId="13" xfId="0" applyFont="1" applyBorder="1" applyAlignment="1">
      <alignment horizontal="center" vertical="center" wrapText="1"/>
    </xf>
    <xf numFmtId="0" fontId="4" fillId="0" borderId="67" xfId="0" applyFont="1" applyBorder="1" applyAlignment="1">
      <alignment horizontal="center" wrapText="1"/>
    </xf>
    <xf numFmtId="0" fontId="4" fillId="0" borderId="74" xfId="0" applyFont="1" applyBorder="1" applyAlignment="1">
      <alignment horizontal="center" wrapText="1"/>
    </xf>
    <xf numFmtId="0" fontId="4" fillId="0" borderId="14" xfId="0" applyFont="1" applyBorder="1" applyAlignment="1">
      <alignment horizontal="center" wrapText="1"/>
    </xf>
    <xf numFmtId="0" fontId="65" fillId="2" borderId="13" xfId="0" applyFont="1" applyFill="1" applyBorder="1" applyAlignment="1">
      <alignment horizontal="left" vertical="center" wrapText="1"/>
    </xf>
    <xf numFmtId="0" fontId="73" fillId="2" borderId="67" xfId="0" applyFont="1" applyFill="1" applyBorder="1" applyAlignment="1" applyProtection="1">
      <alignment horizontal="center" vertical="center" wrapText="1"/>
      <protection locked="0"/>
    </xf>
    <xf numFmtId="0" fontId="73" fillId="2" borderId="13" xfId="0" applyFont="1" applyFill="1" applyBorder="1" applyAlignment="1" applyProtection="1">
      <alignment horizontal="center" vertical="center" wrapText="1"/>
      <protection locked="0"/>
    </xf>
    <xf numFmtId="0" fontId="82" fillId="0" borderId="57" xfId="0" applyFont="1" applyBorder="1" applyAlignment="1" applyProtection="1">
      <alignment horizontal="center" vertical="center" wrapText="1"/>
      <protection locked="0"/>
    </xf>
    <xf numFmtId="0" fontId="65" fillId="0" borderId="13" xfId="0" applyFont="1" applyBorder="1" applyAlignment="1">
      <alignment horizontal="center" vertical="center" wrapText="1"/>
    </xf>
    <xf numFmtId="0" fontId="42" fillId="0" borderId="13" xfId="0" applyFont="1" applyBorder="1" applyAlignment="1" applyProtection="1">
      <alignment horizontal="center" vertical="center" wrapText="1"/>
      <protection locked="0"/>
    </xf>
    <xf numFmtId="0" fontId="82" fillId="2" borderId="54" xfId="0" applyFont="1" applyFill="1" applyBorder="1" applyAlignment="1" applyProtection="1">
      <alignment horizontal="center" vertical="center" wrapText="1"/>
      <protection locked="0"/>
    </xf>
    <xf numFmtId="0" fontId="69" fillId="2" borderId="13" xfId="0" applyFont="1" applyFill="1" applyBorder="1" applyAlignment="1">
      <alignment horizontal="center" vertical="center"/>
    </xf>
    <xf numFmtId="0" fontId="65" fillId="2" borderId="13" xfId="0" applyFont="1" applyFill="1" applyBorder="1" applyAlignment="1">
      <alignment horizontal="center" vertical="center" wrapText="1"/>
    </xf>
    <xf numFmtId="0" fontId="42" fillId="2" borderId="54" xfId="0" applyFont="1" applyFill="1" applyBorder="1" applyAlignment="1" applyProtection="1">
      <alignment horizontal="center" vertical="center" wrapText="1"/>
      <protection locked="0"/>
    </xf>
    <xf numFmtId="0" fontId="82" fillId="2" borderId="13" xfId="0" applyFont="1" applyFill="1" applyBorder="1" applyAlignment="1" applyProtection="1">
      <alignment horizontal="center" vertical="center" wrapText="1"/>
      <protection locked="0"/>
    </xf>
    <xf numFmtId="0" fontId="69" fillId="0" borderId="13" xfId="0" applyFont="1" applyBorder="1" applyAlignment="1">
      <alignment horizontal="center" vertical="center" wrapText="1"/>
    </xf>
    <xf numFmtId="0" fontId="65" fillId="0" borderId="0" xfId="0" applyFont="1" applyBorder="1" applyAlignment="1">
      <alignment horizontal="center" vertical="center"/>
    </xf>
    <xf numFmtId="0" fontId="65" fillId="2" borderId="54" xfId="0" applyFont="1" applyFill="1" applyBorder="1" applyAlignment="1" applyProtection="1">
      <alignment horizontal="center" vertical="center" wrapText="1"/>
      <protection locked="0"/>
    </xf>
    <xf numFmtId="0" fontId="65" fillId="0" borderId="55" xfId="0" applyFont="1" applyBorder="1" applyAlignment="1">
      <alignment horizontal="center" vertical="center"/>
    </xf>
    <xf numFmtId="0" fontId="65" fillId="0" borderId="57" xfId="0" applyFont="1" applyBorder="1" applyAlignment="1" applyProtection="1">
      <alignment horizontal="center" vertical="center" textRotation="90"/>
      <protection locked="0"/>
    </xf>
    <xf numFmtId="0" fontId="73" fillId="2" borderId="14" xfId="0" applyFont="1" applyFill="1" applyBorder="1" applyAlignment="1">
      <alignment horizontal="center" vertical="center" wrapText="1"/>
    </xf>
    <xf numFmtId="0" fontId="63" fillId="0" borderId="55" xfId="0" applyFont="1" applyBorder="1" applyAlignment="1">
      <alignment horizontal="center" vertical="center"/>
    </xf>
    <xf numFmtId="0" fontId="85" fillId="0" borderId="0" xfId="0" applyFont="1" applyBorder="1" applyAlignment="1">
      <alignment horizontal="center"/>
    </xf>
    <xf numFmtId="0" fontId="4" fillId="0" borderId="0" xfId="0" applyFont="1" applyBorder="1" applyAlignment="1">
      <alignment horizontal="left"/>
    </xf>
    <xf numFmtId="0" fontId="4" fillId="0" borderId="64" xfId="0" applyFont="1" applyBorder="1" applyAlignment="1"/>
    <xf numFmtId="0" fontId="4" fillId="0" borderId="31" xfId="0" applyFont="1" applyBorder="1" applyAlignment="1"/>
    <xf numFmtId="0" fontId="4" fillId="0" borderId="65" xfId="0" applyFont="1" applyBorder="1" applyAlignment="1"/>
    <xf numFmtId="0" fontId="4" fillId="0" borderId="57" xfId="0" applyFont="1" applyBorder="1" applyAlignment="1"/>
    <xf numFmtId="0" fontId="4" fillId="0" borderId="0" xfId="0" applyFont="1" applyBorder="1" applyAlignment="1"/>
    <xf numFmtId="0" fontId="4" fillId="0" borderId="55" xfId="0" applyFont="1" applyBorder="1" applyAlignment="1"/>
    <xf numFmtId="164" fontId="65" fillId="0" borderId="61" xfId="1" applyNumberFormat="1" applyFont="1" applyBorder="1" applyAlignment="1">
      <alignment horizontal="center" vertical="center"/>
    </xf>
    <xf numFmtId="0" fontId="4" fillId="0" borderId="54" xfId="0" applyFont="1" applyBorder="1" applyAlignment="1"/>
    <xf numFmtId="0" fontId="4" fillId="0" borderId="48" xfId="0" applyFont="1" applyBorder="1" applyAlignment="1"/>
    <xf numFmtId="0" fontId="4" fillId="0" borderId="56" xfId="0" applyFont="1" applyBorder="1" applyAlignment="1"/>
    <xf numFmtId="0" fontId="0" fillId="0" borderId="13" xfId="0" applyBorder="1" applyAlignment="1">
      <alignment vertical="center"/>
    </xf>
    <xf numFmtId="0" fontId="0" fillId="0" borderId="13" xfId="0" applyBorder="1" applyAlignment="1">
      <alignment horizontal="center" vertical="center" wrapText="1"/>
    </xf>
    <xf numFmtId="0" fontId="0" fillId="0" borderId="13" xfId="0" applyBorder="1" applyAlignment="1">
      <alignment wrapText="1"/>
    </xf>
    <xf numFmtId="14" fontId="0" fillId="0" borderId="13" xfId="0" applyNumberFormat="1" applyBorder="1" applyAlignment="1">
      <alignment horizontal="center" vertical="center" wrapText="1"/>
    </xf>
    <xf numFmtId="0" fontId="0" fillId="0" borderId="13" xfId="0" applyBorder="1"/>
    <xf numFmtId="0" fontId="0" fillId="0" borderId="13" xfId="0" applyBorder="1" applyAlignment="1">
      <alignment vertical="center" wrapText="1"/>
    </xf>
    <xf numFmtId="0" fontId="0" fillId="0" borderId="13" xfId="0" applyBorder="1" applyAlignment="1">
      <alignment horizontal="center" wrapText="1"/>
    </xf>
    <xf numFmtId="14" fontId="86" fillId="0" borderId="13" xfId="0" applyNumberFormat="1" applyFont="1" applyBorder="1" applyAlignment="1">
      <alignment vertical="center" wrapText="1"/>
    </xf>
    <xf numFmtId="0" fontId="87" fillId="24" borderId="13" xfId="0" applyFont="1" applyFill="1" applyBorder="1" applyAlignment="1">
      <alignment horizontal="center" vertical="center"/>
    </xf>
    <xf numFmtId="0" fontId="87" fillId="24" borderId="13" xfId="0" applyFont="1" applyFill="1" applyBorder="1" applyAlignment="1">
      <alignment horizontal="center" vertical="center" wrapText="1"/>
    </xf>
    <xf numFmtId="0" fontId="69" fillId="0" borderId="88" xfId="0" applyFont="1" applyBorder="1" applyAlignment="1" applyProtection="1">
      <alignment horizontal="center" vertical="center" wrapText="1"/>
      <protection hidden="1"/>
    </xf>
    <xf numFmtId="0" fontId="65" fillId="0" borderId="110" xfId="0" applyFont="1" applyBorder="1" applyAlignment="1" applyProtection="1">
      <alignment horizontal="center" vertical="center"/>
      <protection locked="0"/>
    </xf>
    <xf numFmtId="0" fontId="0" fillId="0" borderId="13" xfId="0" applyFont="1" applyBorder="1" applyAlignment="1">
      <alignment horizontal="left" vertical="center" wrapText="1"/>
    </xf>
    <xf numFmtId="0" fontId="0" fillId="0" borderId="0" xfId="0" applyAlignment="1">
      <alignment vertical="center"/>
    </xf>
    <xf numFmtId="0" fontId="0" fillId="2" borderId="0" xfId="0" applyFill="1" applyAlignment="1">
      <alignment vertical="center"/>
    </xf>
    <xf numFmtId="0" fontId="69" fillId="0" borderId="67" xfId="0" applyFont="1" applyBorder="1" applyAlignment="1" applyProtection="1">
      <alignment horizontal="center" vertical="center"/>
      <protection hidden="1"/>
    </xf>
    <xf numFmtId="0" fontId="69" fillId="0" borderId="74" xfId="0" applyFont="1" applyBorder="1" applyAlignment="1" applyProtection="1">
      <alignment horizontal="center" vertical="center"/>
      <protection hidden="1"/>
    </xf>
    <xf numFmtId="0" fontId="69" fillId="0" borderId="67" xfId="0" applyFont="1" applyBorder="1" applyAlignment="1" applyProtection="1">
      <alignment horizontal="center" vertical="center" wrapText="1"/>
      <protection hidden="1"/>
    </xf>
    <xf numFmtId="9" fontId="65" fillId="0" borderId="67" xfId="0" applyNumberFormat="1" applyFont="1" applyBorder="1" applyAlignment="1" applyProtection="1">
      <alignment horizontal="center" vertical="center" wrapText="1"/>
      <protection hidden="1"/>
    </xf>
    <xf numFmtId="9" fontId="65" fillId="0" borderId="14" xfId="0" applyNumberFormat="1" applyFont="1" applyBorder="1" applyAlignment="1" applyProtection="1">
      <alignment horizontal="center" vertical="center" wrapText="1"/>
      <protection hidden="1"/>
    </xf>
    <xf numFmtId="0" fontId="69" fillId="0" borderId="82" xfId="0" applyFont="1" applyBorder="1" applyAlignment="1" applyProtection="1">
      <alignment horizontal="center" vertical="center"/>
      <protection hidden="1"/>
    </xf>
    <xf numFmtId="9" fontId="65" fillId="0" borderId="74" xfId="0" applyNumberFormat="1" applyFont="1" applyBorder="1" applyAlignment="1" applyProtection="1">
      <alignment horizontal="center" vertical="center" wrapText="1"/>
      <protection hidden="1"/>
    </xf>
    <xf numFmtId="0" fontId="65" fillId="0" borderId="107" xfId="0" applyFont="1" applyBorder="1" applyAlignment="1" applyProtection="1">
      <alignment horizontal="center" vertical="center" textRotation="90"/>
      <protection locked="0"/>
    </xf>
    <xf numFmtId="0" fontId="65" fillId="2" borderId="67" xfId="0" applyFont="1" applyFill="1" applyBorder="1" applyAlignment="1">
      <alignment horizontal="center" vertical="center" wrapText="1"/>
    </xf>
    <xf numFmtId="0" fontId="65" fillId="2" borderId="14" xfId="0" applyFont="1" applyFill="1" applyBorder="1" applyAlignment="1">
      <alignment horizontal="center" vertical="center" wrapText="1"/>
    </xf>
    <xf numFmtId="0" fontId="65" fillId="0" borderId="67" xfId="0" applyFont="1" applyBorder="1" applyAlignment="1" applyProtection="1">
      <alignment horizontal="center" vertical="center"/>
      <protection hidden="1"/>
    </xf>
    <xf numFmtId="0" fontId="65" fillId="0" borderId="14" xfId="0" applyFont="1" applyBorder="1" applyAlignment="1" applyProtection="1">
      <alignment horizontal="center" vertical="center"/>
      <protection hidden="1"/>
    </xf>
    <xf numFmtId="9" fontId="65" fillId="0" borderId="63" xfId="0" applyNumberFormat="1" applyFont="1" applyBorder="1" applyAlignment="1" applyProtection="1">
      <alignment horizontal="center" vertical="center" wrapText="1"/>
      <protection hidden="1"/>
    </xf>
    <xf numFmtId="0" fontId="65" fillId="0" borderId="67" xfId="0" applyFont="1" applyBorder="1" applyAlignment="1" applyProtection="1">
      <alignment horizontal="center" vertical="center" wrapText="1"/>
      <protection locked="0"/>
    </xf>
    <xf numFmtId="0" fontId="65" fillId="0" borderId="67" xfId="0" applyFont="1" applyBorder="1" applyAlignment="1">
      <alignment horizontal="center" vertical="center"/>
    </xf>
    <xf numFmtId="0" fontId="65" fillId="0" borderId="14" xfId="0" applyFont="1" applyBorder="1" applyAlignment="1">
      <alignment horizontal="center" vertical="center"/>
    </xf>
    <xf numFmtId="0" fontId="65" fillId="0" borderId="93" xfId="0" applyFont="1" applyBorder="1" applyAlignment="1" applyProtection="1">
      <alignment horizontal="center" vertical="center" textRotation="90"/>
      <protection locked="0"/>
    </xf>
    <xf numFmtId="0" fontId="65" fillId="0" borderId="67" xfId="0" applyFont="1" applyBorder="1" applyAlignment="1" applyProtection="1">
      <alignment horizontal="center" vertical="center" textRotation="90"/>
      <protection locked="0"/>
    </xf>
    <xf numFmtId="0" fontId="65" fillId="0" borderId="14" xfId="0" applyFont="1" applyBorder="1" applyAlignment="1" applyProtection="1">
      <alignment horizontal="center" vertical="center" textRotation="90"/>
      <protection locked="0"/>
    </xf>
    <xf numFmtId="9" fontId="65" fillId="0" borderId="67" xfId="0" applyNumberFormat="1" applyFont="1" applyBorder="1" applyAlignment="1" applyProtection="1">
      <alignment horizontal="center" vertical="center"/>
      <protection hidden="1"/>
    </xf>
    <xf numFmtId="0" fontId="65" fillId="0" borderId="67" xfId="0" applyFont="1" applyBorder="1" applyAlignment="1" applyProtection="1">
      <alignment horizontal="center" vertical="center"/>
      <protection locked="0"/>
    </xf>
    <xf numFmtId="9" fontId="65" fillId="0" borderId="14" xfId="0" applyNumberFormat="1" applyFont="1" applyBorder="1" applyAlignment="1" applyProtection="1">
      <alignment horizontal="center" vertical="center"/>
      <protection hidden="1"/>
    </xf>
    <xf numFmtId="0" fontId="69" fillId="0" borderId="65" xfId="0" applyFont="1" applyBorder="1" applyAlignment="1" applyProtection="1">
      <alignment horizontal="center" vertical="center" wrapText="1"/>
      <protection hidden="1"/>
    </xf>
    <xf numFmtId="0" fontId="69" fillId="0" borderId="55" xfId="0" applyFont="1" applyBorder="1" applyAlignment="1" applyProtection="1">
      <alignment horizontal="center" vertical="center" wrapText="1"/>
      <protection hidden="1"/>
    </xf>
    <xf numFmtId="9" fontId="65" fillId="0" borderId="93" xfId="0" applyNumberFormat="1" applyFont="1" applyBorder="1" applyAlignment="1" applyProtection="1">
      <alignment horizontal="center" vertical="center" wrapText="1"/>
      <protection hidden="1"/>
    </xf>
    <xf numFmtId="0" fontId="65" fillId="0" borderId="74" xfId="0" applyFont="1" applyBorder="1" applyAlignment="1" applyProtection="1">
      <alignment horizontal="center" vertical="center" wrapText="1"/>
      <protection locked="0"/>
    </xf>
    <xf numFmtId="0" fontId="65" fillId="0" borderId="67" xfId="0" applyFont="1" applyBorder="1" applyAlignment="1">
      <alignment horizontal="center" vertical="center" wrapText="1"/>
    </xf>
    <xf numFmtId="0" fontId="65" fillId="0" borderId="14" xfId="0" applyFont="1" applyBorder="1" applyAlignment="1">
      <alignment horizontal="center" vertical="center" wrapText="1"/>
    </xf>
    <xf numFmtId="0" fontId="65" fillId="0" borderId="14" xfId="0" applyFont="1" applyBorder="1" applyAlignment="1" applyProtection="1">
      <alignment horizontal="center" vertical="center" wrapText="1"/>
      <protection locked="0"/>
    </xf>
    <xf numFmtId="0" fontId="65" fillId="0" borderId="74" xfId="0" applyFont="1" applyBorder="1" applyAlignment="1">
      <alignment horizontal="center" vertical="center"/>
    </xf>
    <xf numFmtId="0" fontId="65" fillId="0" borderId="74" xfId="0" applyFont="1" applyBorder="1" applyAlignment="1" applyProtection="1">
      <alignment horizontal="center" vertical="center"/>
      <protection locked="0"/>
    </xf>
    <xf numFmtId="0" fontId="42" fillId="0" borderId="14" xfId="0" applyFont="1" applyBorder="1" applyAlignment="1" applyProtection="1">
      <alignment horizontal="center" vertical="center" wrapText="1"/>
      <protection locked="0"/>
    </xf>
    <xf numFmtId="0" fontId="65" fillId="17" borderId="67" xfId="0" applyFont="1" applyFill="1" applyBorder="1" applyAlignment="1">
      <alignment horizontal="center" vertical="center" wrapText="1"/>
    </xf>
    <xf numFmtId="0" fontId="65" fillId="17" borderId="14" xfId="0" applyFont="1" applyFill="1" applyBorder="1" applyAlignment="1">
      <alignment horizontal="center" vertical="center" wrapText="1"/>
    </xf>
    <xf numFmtId="0" fontId="65" fillId="0" borderId="83" xfId="0" applyFont="1" applyBorder="1" applyAlignment="1" applyProtection="1">
      <alignment horizontal="center" vertical="center" textRotation="90"/>
      <protection locked="0"/>
    </xf>
    <xf numFmtId="0" fontId="65" fillId="0" borderId="84" xfId="0" applyFont="1" applyBorder="1" applyAlignment="1" applyProtection="1">
      <alignment horizontal="center" vertical="center" textRotation="90"/>
      <protection locked="0"/>
    </xf>
    <xf numFmtId="164" fontId="65" fillId="0" borderId="67" xfId="1" applyNumberFormat="1" applyFont="1" applyBorder="1" applyAlignment="1">
      <alignment horizontal="center" vertical="center"/>
    </xf>
    <xf numFmtId="164" fontId="65" fillId="0" borderId="14" xfId="1" applyNumberFormat="1" applyFont="1" applyBorder="1" applyAlignment="1">
      <alignment horizontal="center" vertical="center"/>
    </xf>
    <xf numFmtId="0" fontId="69" fillId="0" borderId="67" xfId="0" applyFont="1" applyBorder="1" applyAlignment="1" applyProtection="1">
      <alignment horizontal="center" vertical="center" textRotation="90" wrapText="1"/>
      <protection hidden="1"/>
    </xf>
    <xf numFmtId="0" fontId="69" fillId="0" borderId="14" xfId="0" applyFont="1" applyBorder="1" applyAlignment="1" applyProtection="1">
      <alignment horizontal="center" vertical="center" textRotation="90" wrapText="1"/>
      <protection hidden="1"/>
    </xf>
    <xf numFmtId="0" fontId="69" fillId="0" borderId="93" xfId="0" applyFont="1" applyBorder="1" applyAlignment="1" applyProtection="1">
      <alignment horizontal="center" vertical="center" textRotation="90" wrapText="1"/>
      <protection hidden="1"/>
    </xf>
    <xf numFmtId="0" fontId="73" fillId="0" borderId="67" xfId="0" applyFont="1" applyBorder="1" applyAlignment="1">
      <alignment horizontal="center" vertical="center"/>
    </xf>
    <xf numFmtId="0" fontId="73" fillId="0" borderId="14" xfId="0" applyFont="1" applyBorder="1" applyAlignment="1">
      <alignment horizontal="center" vertical="center"/>
    </xf>
    <xf numFmtId="0" fontId="65" fillId="0" borderId="74" xfId="0" applyFont="1" applyBorder="1" applyAlignment="1">
      <alignment horizontal="center" vertical="center" wrapText="1"/>
    </xf>
    <xf numFmtId="0" fontId="69" fillId="0" borderId="82" xfId="0" applyFont="1" applyBorder="1" applyAlignment="1" applyProtection="1">
      <alignment horizontal="center" vertical="center" wrapText="1"/>
      <protection hidden="1"/>
    </xf>
    <xf numFmtId="9" fontId="65" fillId="0" borderId="79" xfId="0" applyNumberFormat="1" applyFont="1" applyBorder="1" applyAlignment="1" applyProtection="1">
      <alignment horizontal="center" vertical="center" wrapText="1"/>
      <protection hidden="1"/>
    </xf>
    <xf numFmtId="9" fontId="65" fillId="0" borderId="72" xfId="0" applyNumberFormat="1" applyFont="1" applyBorder="1" applyAlignment="1" applyProtection="1">
      <alignment horizontal="center" vertical="center" wrapText="1"/>
      <protection hidden="1"/>
    </xf>
    <xf numFmtId="0" fontId="69" fillId="0" borderId="67" xfId="0" applyFont="1" applyBorder="1" applyAlignment="1" applyProtection="1">
      <alignment horizontal="center" vertical="center" textRotation="90"/>
      <protection hidden="1"/>
    </xf>
    <xf numFmtId="0" fontId="69" fillId="0" borderId="14" xfId="0" applyFont="1" applyBorder="1" applyAlignment="1" applyProtection="1">
      <alignment horizontal="center" vertical="center" textRotation="90"/>
      <protection hidden="1"/>
    </xf>
    <xf numFmtId="0" fontId="82" fillId="0" borderId="67" xfId="0" applyFont="1" applyBorder="1" applyAlignment="1" applyProtection="1">
      <alignment horizontal="center" vertical="center" wrapText="1"/>
      <protection locked="0"/>
    </xf>
    <xf numFmtId="0" fontId="82" fillId="0" borderId="14" xfId="0" applyFont="1" applyBorder="1" applyAlignment="1" applyProtection="1">
      <alignment horizontal="center" vertical="center" wrapText="1"/>
      <protection locked="0"/>
    </xf>
    <xf numFmtId="9" fontId="65" fillId="0" borderId="96" xfId="0" applyNumberFormat="1" applyFont="1" applyBorder="1" applyAlignment="1" applyProtection="1">
      <alignment horizontal="center" vertical="center" wrapText="1"/>
      <protection hidden="1"/>
    </xf>
    <xf numFmtId="9" fontId="65" fillId="0" borderId="73" xfId="0" applyNumberFormat="1" applyFont="1" applyBorder="1" applyAlignment="1" applyProtection="1">
      <alignment horizontal="center" vertical="center" wrapText="1"/>
      <protection hidden="1"/>
    </xf>
    <xf numFmtId="0" fontId="69" fillId="0" borderId="93" xfId="0" applyFont="1" applyBorder="1" applyAlignment="1" applyProtection="1">
      <alignment horizontal="center" vertical="center" wrapText="1"/>
      <protection hidden="1"/>
    </xf>
    <xf numFmtId="164" fontId="65" fillId="0" borderId="79" xfId="1" applyNumberFormat="1" applyFont="1" applyBorder="1" applyAlignment="1">
      <alignment horizontal="center" vertical="center"/>
    </xf>
    <xf numFmtId="0" fontId="65" fillId="0" borderId="78" xfId="0" applyFont="1" applyBorder="1" applyAlignment="1" applyProtection="1">
      <alignment horizontal="center" vertical="center" wrapText="1"/>
      <protection locked="0"/>
    </xf>
    <xf numFmtId="0" fontId="65" fillId="0" borderId="55" xfId="0" applyFont="1" applyBorder="1" applyAlignment="1" applyProtection="1">
      <alignment horizontal="center" vertical="center"/>
      <protection locked="0"/>
    </xf>
    <xf numFmtId="0" fontId="65" fillId="0" borderId="56" xfId="0" applyFont="1" applyBorder="1" applyAlignment="1" applyProtection="1">
      <alignment horizontal="center" vertical="center"/>
      <protection locked="0"/>
    </xf>
    <xf numFmtId="0" fontId="73" fillId="0" borderId="74" xfId="0" applyFont="1" applyBorder="1" applyAlignment="1">
      <alignment horizontal="center" vertical="center"/>
    </xf>
    <xf numFmtId="0" fontId="73" fillId="2" borderId="14" xfId="0" applyFont="1" applyFill="1" applyBorder="1" applyAlignment="1">
      <alignment horizontal="center" vertical="center"/>
    </xf>
    <xf numFmtId="0" fontId="65" fillId="0" borderId="13" xfId="0" applyFont="1" applyBorder="1" applyAlignment="1" applyProtection="1">
      <alignment horizontal="center" vertical="center" wrapText="1"/>
      <protection locked="0"/>
    </xf>
    <xf numFmtId="0" fontId="69" fillId="0" borderId="67" xfId="0" applyFont="1" applyBorder="1" applyAlignment="1">
      <alignment horizontal="center" vertical="center" wrapText="1"/>
    </xf>
    <xf numFmtId="0" fontId="65" fillId="0" borderId="107" xfId="0" applyFont="1" applyBorder="1" applyAlignment="1">
      <alignment horizontal="center" vertical="center"/>
    </xf>
    <xf numFmtId="0" fontId="65" fillId="2" borderId="67" xfId="0" applyFont="1" applyFill="1" applyBorder="1" applyAlignment="1" applyProtection="1">
      <alignment horizontal="center" vertical="center"/>
      <protection locked="0"/>
    </xf>
    <xf numFmtId="0" fontId="69" fillId="0" borderId="72" xfId="0" applyFont="1" applyBorder="1" applyAlignment="1" applyProtection="1">
      <alignment horizontal="center" vertical="center"/>
      <protection hidden="1"/>
    </xf>
    <xf numFmtId="9" fontId="65" fillId="0" borderId="82" xfId="0" applyNumberFormat="1" applyFont="1" applyBorder="1" applyAlignment="1" applyProtection="1">
      <alignment horizontal="center" vertical="center" wrapText="1"/>
      <protection hidden="1"/>
    </xf>
    <xf numFmtId="0" fontId="65" fillId="0" borderId="63" xfId="0" applyFont="1" applyBorder="1" applyAlignment="1" applyProtection="1">
      <alignment horizontal="center" vertical="center"/>
      <protection locked="0"/>
    </xf>
    <xf numFmtId="0" fontId="69" fillId="0" borderId="63" xfId="0" applyFont="1" applyBorder="1" applyAlignment="1" applyProtection="1">
      <alignment horizontal="center" vertical="center"/>
      <protection hidden="1"/>
    </xf>
    <xf numFmtId="164" fontId="65" fillId="0" borderId="79" xfId="1" applyNumberFormat="1" applyFont="1" applyFill="1" applyBorder="1" applyAlignment="1">
      <alignment horizontal="center" vertical="center"/>
    </xf>
    <xf numFmtId="0" fontId="65" fillId="2" borderId="14" xfId="0" applyFont="1" applyFill="1" applyBorder="1" applyAlignment="1" applyProtection="1">
      <alignment horizontal="center" vertical="center" wrapText="1"/>
      <protection locked="0"/>
    </xf>
    <xf numFmtId="0" fontId="65" fillId="0" borderId="13" xfId="0" applyFont="1" applyBorder="1" applyAlignment="1" applyProtection="1">
      <alignment horizontal="center" vertical="center" wrapText="1"/>
      <protection locked="0"/>
    </xf>
    <xf numFmtId="0" fontId="42" fillId="2" borderId="13" xfId="0" applyFont="1" applyFill="1" applyBorder="1" applyAlignment="1">
      <alignment horizontal="center" vertical="center" wrapText="1"/>
    </xf>
    <xf numFmtId="0" fontId="71" fillId="0" borderId="13" xfId="0" applyFont="1" applyBorder="1" applyAlignment="1">
      <alignment horizontal="center" vertical="center" wrapText="1"/>
    </xf>
    <xf numFmtId="0" fontId="71" fillId="2" borderId="13" xfId="0" applyFont="1" applyFill="1" applyBorder="1" applyAlignment="1">
      <alignment horizontal="center" vertical="center" wrapText="1"/>
    </xf>
    <xf numFmtId="0" fontId="65" fillId="2" borderId="13" xfId="0" applyFont="1" applyFill="1" applyBorder="1" applyAlignment="1">
      <alignment horizontal="center" vertical="top" wrapText="1"/>
    </xf>
    <xf numFmtId="0" fontId="71" fillId="2" borderId="67" xfId="0" applyFont="1" applyFill="1" applyBorder="1" applyAlignment="1">
      <alignment horizontal="center" vertical="center" wrapText="1"/>
    </xf>
    <xf numFmtId="0" fontId="71" fillId="0" borderId="74" xfId="0" applyFont="1" applyBorder="1" applyAlignment="1">
      <alignment horizontal="center" vertical="center" wrapText="1"/>
    </xf>
    <xf numFmtId="0" fontId="65" fillId="2" borderId="14" xfId="0" applyFont="1" applyFill="1" applyBorder="1" applyAlignment="1">
      <alignment horizontal="center" wrapText="1"/>
    </xf>
    <xf numFmtId="0" fontId="69" fillId="0" borderId="74" xfId="0" applyFont="1" applyBorder="1" applyAlignment="1" applyProtection="1">
      <alignment horizontal="center" vertical="center" textRotation="90"/>
      <protection hidden="1"/>
    </xf>
    <xf numFmtId="0" fontId="42" fillId="2" borderId="67" xfId="0" applyFont="1" applyFill="1" applyBorder="1" applyAlignment="1">
      <alignment horizontal="center" vertical="center" wrapText="1"/>
    </xf>
    <xf numFmtId="0" fontId="42" fillId="2" borderId="74" xfId="0" applyFont="1" applyFill="1" applyBorder="1" applyAlignment="1">
      <alignment horizontal="center" vertical="center" wrapText="1"/>
    </xf>
    <xf numFmtId="0" fontId="71" fillId="0" borderId="67" xfId="0" applyFont="1" applyBorder="1" applyAlignment="1">
      <alignment horizontal="center" vertical="center" wrapText="1"/>
    </xf>
    <xf numFmtId="0" fontId="69" fillId="0" borderId="90" xfId="0" applyFont="1" applyBorder="1" applyAlignment="1" applyProtection="1">
      <alignment horizontal="center" vertical="center"/>
      <protection hidden="1"/>
    </xf>
    <xf numFmtId="164" fontId="65" fillId="0" borderId="13" xfId="1" applyNumberFormat="1" applyFont="1" applyFill="1" applyBorder="1" applyAlignment="1">
      <alignment horizontal="center" vertical="center"/>
    </xf>
    <xf numFmtId="164" fontId="65" fillId="0" borderId="80" xfId="1" applyNumberFormat="1" applyFont="1" applyFill="1" applyBorder="1" applyAlignment="1">
      <alignment horizontal="center" vertical="center"/>
    </xf>
    <xf numFmtId="164" fontId="65" fillId="0" borderId="14" xfId="1" applyNumberFormat="1" applyFont="1" applyFill="1" applyBorder="1" applyAlignment="1">
      <alignment horizontal="center" vertical="center"/>
    </xf>
    <xf numFmtId="164" fontId="65" fillId="0" borderId="67" xfId="1" applyNumberFormat="1" applyFont="1" applyFill="1" applyBorder="1" applyAlignment="1">
      <alignment horizontal="center" vertical="center"/>
    </xf>
    <xf numFmtId="0" fontId="65" fillId="2" borderId="70" xfId="0" applyFont="1" applyFill="1" applyBorder="1" applyAlignment="1">
      <alignment horizontal="center" vertical="center" wrapText="1"/>
    </xf>
    <xf numFmtId="9" fontId="65" fillId="0" borderId="13" xfId="0" applyNumberFormat="1" applyFont="1" applyBorder="1" applyAlignment="1" applyProtection="1">
      <alignment horizontal="center" vertical="center" wrapText="1"/>
      <protection locked="0"/>
    </xf>
    <xf numFmtId="0" fontId="65" fillId="0" borderId="63" xfId="0" applyFont="1" applyBorder="1" applyAlignment="1" applyProtection="1">
      <alignment horizontal="center" vertical="center" wrapText="1"/>
      <protection locked="0"/>
    </xf>
    <xf numFmtId="0" fontId="82" fillId="23" borderId="13" xfId="0" applyFont="1" applyFill="1" applyBorder="1" applyAlignment="1">
      <alignment horizontal="center" vertical="center" wrapText="1"/>
    </xf>
    <xf numFmtId="0" fontId="65" fillId="0" borderId="67" xfId="0" applyFont="1" applyBorder="1" applyAlignment="1" applyProtection="1">
      <alignment horizontal="center" vertical="center" textRotation="90"/>
      <protection locked="0"/>
    </xf>
    <xf numFmtId="9" fontId="65" fillId="0" borderId="67" xfId="0" applyNumberFormat="1" applyFont="1" applyBorder="1" applyAlignment="1" applyProtection="1">
      <alignment horizontal="center" vertical="center"/>
      <protection hidden="1"/>
    </xf>
    <xf numFmtId="0" fontId="69" fillId="0" borderId="67" xfId="0" applyFont="1" applyBorder="1" applyAlignment="1" applyProtection="1">
      <alignment horizontal="center" vertical="center" textRotation="90" wrapText="1"/>
      <protection hidden="1"/>
    </xf>
    <xf numFmtId="0" fontId="69" fillId="0" borderId="14" xfId="0" applyFont="1" applyBorder="1" applyAlignment="1" applyProtection="1">
      <alignment horizontal="center" vertical="center" textRotation="90" wrapText="1"/>
      <protection hidden="1"/>
    </xf>
    <xf numFmtId="0" fontId="69" fillId="0" borderId="67" xfId="0" applyFont="1" applyBorder="1" applyAlignment="1" applyProtection="1">
      <alignment horizontal="center" vertical="center" textRotation="90"/>
      <protection hidden="1"/>
    </xf>
    <xf numFmtId="0" fontId="66" fillId="19" borderId="59" xfId="0" applyFont="1" applyFill="1" applyBorder="1" applyAlignment="1">
      <alignment horizontal="center" vertical="center"/>
    </xf>
    <xf numFmtId="0" fontId="53" fillId="19" borderId="14" xfId="0" applyFont="1" applyFill="1" applyBorder="1"/>
    <xf numFmtId="0" fontId="66" fillId="19" borderId="111" xfId="0" applyFont="1" applyFill="1" applyBorder="1" applyAlignment="1">
      <alignment horizontal="center" vertical="center"/>
    </xf>
    <xf numFmtId="0" fontId="66" fillId="19" borderId="0" xfId="0" applyFont="1" applyFill="1" applyBorder="1" applyAlignment="1">
      <alignment horizontal="center" vertical="center"/>
    </xf>
    <xf numFmtId="0" fontId="66" fillId="19" borderId="14" xfId="0" applyFont="1" applyFill="1" applyBorder="1" applyAlignment="1">
      <alignment horizontal="center" vertical="center"/>
    </xf>
    <xf numFmtId="0" fontId="66" fillId="18" borderId="74" xfId="0" applyFont="1" applyFill="1" applyBorder="1" applyAlignment="1">
      <alignment horizontal="center" vertical="center" wrapText="1"/>
    </xf>
    <xf numFmtId="0" fontId="53" fillId="2" borderId="0" xfId="0" applyFont="1" applyFill="1" applyAlignment="1">
      <alignment horizontal="center"/>
    </xf>
    <xf numFmtId="0" fontId="53" fillId="2" borderId="0" xfId="0" applyFont="1" applyFill="1" applyAlignment="1">
      <alignment horizontal="center" vertical="center"/>
    </xf>
    <xf numFmtId="0" fontId="53" fillId="0" borderId="70" xfId="0" applyFont="1" applyBorder="1"/>
    <xf numFmtId="0" fontId="53" fillId="0" borderId="71" xfId="0" applyFont="1" applyBorder="1"/>
    <xf numFmtId="0" fontId="53" fillId="0" borderId="71" xfId="0" applyFont="1" applyBorder="1" applyAlignment="1">
      <alignment horizontal="center"/>
    </xf>
    <xf numFmtId="0" fontId="53" fillId="0" borderId="71" xfId="0" applyFont="1" applyBorder="1" applyAlignment="1">
      <alignment horizontal="center" vertical="center"/>
    </xf>
    <xf numFmtId="0" fontId="53" fillId="0" borderId="69" xfId="0" applyFont="1" applyBorder="1" applyAlignment="1">
      <alignment horizontal="center"/>
    </xf>
    <xf numFmtId="0" fontId="73" fillId="0" borderId="71" xfId="0" applyFont="1" applyBorder="1" applyAlignment="1">
      <alignment horizontal="center" vertical="center"/>
    </xf>
    <xf numFmtId="0" fontId="53" fillId="0" borderId="71" xfId="0" applyFont="1" applyBorder="1" applyAlignment="1">
      <alignment horizontal="center" vertical="center" wrapText="1"/>
    </xf>
    <xf numFmtId="0" fontId="54" fillId="0" borderId="71" xfId="0" applyFont="1" applyBorder="1"/>
    <xf numFmtId="0" fontId="53" fillId="0" borderId="0" xfId="0" applyFont="1" applyBorder="1" applyAlignment="1"/>
    <xf numFmtId="0" fontId="53" fillId="2" borderId="0" xfId="0" applyFont="1" applyFill="1" applyAlignment="1">
      <alignment horizontal="center" vertical="center" wrapText="1"/>
    </xf>
    <xf numFmtId="0" fontId="53" fillId="2" borderId="57" xfId="0" applyFont="1" applyFill="1" applyBorder="1" applyAlignment="1"/>
    <xf numFmtId="0" fontId="53" fillId="0" borderId="67" xfId="0" applyFont="1" applyBorder="1" applyAlignment="1">
      <alignment horizontal="center" vertical="center" wrapText="1"/>
    </xf>
    <xf numFmtId="0" fontId="65" fillId="0" borderId="55" xfId="0" applyFont="1" applyBorder="1" applyAlignment="1" applyProtection="1">
      <alignment horizontal="center" vertical="center" textRotation="90"/>
      <protection locked="0"/>
    </xf>
    <xf numFmtId="0" fontId="65" fillId="0" borderId="110" xfId="0" applyFont="1" applyBorder="1" applyAlignment="1">
      <alignment horizontal="center" vertical="center"/>
    </xf>
    <xf numFmtId="0" fontId="47" fillId="2" borderId="0" xfId="2" quotePrefix="1" applyFont="1" applyFill="1" applyBorder="1" applyAlignment="1">
      <alignment horizontal="left" vertical="top" wrapText="1"/>
    </xf>
    <xf numFmtId="0" fontId="44" fillId="2" borderId="0" xfId="2" applyFont="1" applyFill="1" applyBorder="1"/>
    <xf numFmtId="0" fontId="48" fillId="2" borderId="0" xfId="2" applyFont="1" applyFill="1" applyBorder="1" applyAlignment="1">
      <alignment horizontal="left" vertical="center" wrapText="1"/>
    </xf>
    <xf numFmtId="0" fontId="44" fillId="2" borderId="0" xfId="2" applyFont="1" applyFill="1" applyBorder="1" applyAlignment="1">
      <alignment horizontal="left" vertical="center" wrapText="1"/>
    </xf>
    <xf numFmtId="0" fontId="44" fillId="2" borderId="0" xfId="2" quotePrefix="1" applyFont="1" applyFill="1" applyBorder="1" applyAlignment="1">
      <alignment horizontal="left" vertical="center" wrapText="1"/>
    </xf>
    <xf numFmtId="0" fontId="49" fillId="2" borderId="0" xfId="0" applyFont="1" applyFill="1" applyBorder="1" applyAlignment="1">
      <alignment horizontal="left" vertical="center" wrapText="1"/>
    </xf>
    <xf numFmtId="0" fontId="50" fillId="2" borderId="0" xfId="0" applyFont="1" applyFill="1" applyBorder="1" applyAlignment="1">
      <alignment horizontal="left" vertical="top" wrapText="1"/>
    </xf>
    <xf numFmtId="0" fontId="72" fillId="0" borderId="68" xfId="0" applyFont="1" applyBorder="1" applyAlignment="1">
      <alignment horizontal="center" vertical="center"/>
    </xf>
    <xf numFmtId="0" fontId="69" fillId="0" borderId="68" xfId="4" applyFont="1" applyBorder="1" applyAlignment="1">
      <alignment horizontal="center" vertical="center" wrapText="1"/>
    </xf>
    <xf numFmtId="14" fontId="69" fillId="0" borderId="68" xfId="0" applyNumberFormat="1" applyFont="1" applyBorder="1" applyAlignment="1">
      <alignment horizontal="center" vertical="center"/>
    </xf>
    <xf numFmtId="0" fontId="48" fillId="2" borderId="5" xfId="2" applyFont="1" applyFill="1" applyBorder="1" applyAlignment="1">
      <alignment horizontal="left"/>
    </xf>
    <xf numFmtId="0" fontId="44" fillId="2" borderId="7" xfId="2" applyFont="1" applyFill="1" applyBorder="1" applyAlignment="1">
      <alignment horizontal="left"/>
    </xf>
    <xf numFmtId="0" fontId="44" fillId="2" borderId="6" xfId="2" applyFont="1" applyFill="1" applyBorder="1" applyAlignment="1">
      <alignment horizontal="left"/>
    </xf>
    <xf numFmtId="0" fontId="44" fillId="2" borderId="3" xfId="2" applyFont="1" applyFill="1" applyBorder="1" applyAlignment="1">
      <alignment horizontal="left" vertical="top" wrapText="1"/>
    </xf>
    <xf numFmtId="0" fontId="44" fillId="2" borderId="0" xfId="2" applyFont="1" applyFill="1" applyBorder="1" applyAlignment="1">
      <alignment horizontal="left" vertical="top" wrapText="1"/>
    </xf>
    <xf numFmtId="0" fontId="44" fillId="2" borderId="4" xfId="2" applyFont="1" applyFill="1" applyBorder="1" applyAlignment="1">
      <alignment horizontal="left" vertical="top" wrapText="1"/>
    </xf>
    <xf numFmtId="0" fontId="48" fillId="2" borderId="3" xfId="2" applyFont="1" applyFill="1" applyBorder="1" applyAlignment="1">
      <alignment horizontal="left"/>
    </xf>
    <xf numFmtId="0" fontId="44" fillId="2" borderId="0" xfId="2" applyFont="1" applyFill="1" applyBorder="1" applyAlignment="1">
      <alignment horizontal="left"/>
    </xf>
    <xf numFmtId="0" fontId="44" fillId="2" borderId="4" xfId="2" applyFont="1" applyFill="1" applyBorder="1" applyAlignment="1">
      <alignment horizontal="left"/>
    </xf>
    <xf numFmtId="0" fontId="49" fillId="2" borderId="50" xfId="0" applyFont="1" applyFill="1" applyBorder="1" applyAlignment="1">
      <alignment horizontal="left" vertical="center" wrapText="1"/>
    </xf>
    <xf numFmtId="0" fontId="49" fillId="2" borderId="51" xfId="0" applyFont="1" applyFill="1" applyBorder="1" applyAlignment="1">
      <alignment horizontal="left" vertical="center" wrapText="1"/>
    </xf>
    <xf numFmtId="0" fontId="50" fillId="2" borderId="43" xfId="2" applyFont="1" applyFill="1" applyBorder="1" applyAlignment="1">
      <alignment horizontal="justify" vertical="center" wrapText="1"/>
    </xf>
    <xf numFmtId="0" fontId="50" fillId="2" borderId="44" xfId="2" applyFont="1" applyFill="1" applyBorder="1" applyAlignment="1">
      <alignment horizontal="justify" vertical="center" wrapText="1"/>
    </xf>
    <xf numFmtId="0" fontId="49" fillId="2" borderId="52" xfId="0" applyFont="1" applyFill="1" applyBorder="1" applyAlignment="1">
      <alignment horizontal="left" vertical="center" wrapText="1"/>
    </xf>
    <xf numFmtId="0" fontId="49" fillId="2" borderId="53" xfId="0" applyFont="1" applyFill="1" applyBorder="1" applyAlignment="1">
      <alignment horizontal="left" vertical="center" wrapText="1"/>
    </xf>
    <xf numFmtId="0" fontId="50" fillId="2" borderId="45" xfId="0" applyFont="1" applyFill="1" applyBorder="1" applyAlignment="1">
      <alignment horizontal="justify" vertical="center" wrapText="1"/>
    </xf>
    <xf numFmtId="0" fontId="50" fillId="2" borderId="46" xfId="0" applyFont="1" applyFill="1" applyBorder="1" applyAlignment="1">
      <alignment horizontal="justify" vertical="center" wrapText="1"/>
    </xf>
    <xf numFmtId="0" fontId="50" fillId="4" borderId="43" xfId="2" applyFont="1" applyFill="1" applyBorder="1" applyAlignment="1">
      <alignment horizontal="left" vertical="center" wrapText="1"/>
    </xf>
    <xf numFmtId="0" fontId="50" fillId="4" borderId="44" xfId="2" applyFont="1" applyFill="1" applyBorder="1" applyAlignment="1">
      <alignment horizontal="left" vertical="center" wrapText="1"/>
    </xf>
    <xf numFmtId="0" fontId="49" fillId="4" borderId="50" xfId="0" applyFont="1" applyFill="1" applyBorder="1" applyAlignment="1">
      <alignment horizontal="left" vertical="center" wrapText="1"/>
    </xf>
    <xf numFmtId="0" fontId="49" fillId="4" borderId="51" xfId="0" applyFont="1" applyFill="1" applyBorder="1" applyAlignment="1">
      <alignment horizontal="left" vertical="center" wrapText="1"/>
    </xf>
    <xf numFmtId="0" fontId="49" fillId="2" borderId="41" xfId="0" applyFont="1" applyFill="1" applyBorder="1" applyAlignment="1">
      <alignment horizontal="left" vertical="center" wrapText="1"/>
    </xf>
    <xf numFmtId="0" fontId="49" fillId="2" borderId="42" xfId="0" applyFont="1" applyFill="1" applyBorder="1" applyAlignment="1">
      <alignment horizontal="left" vertical="center" wrapText="1"/>
    </xf>
    <xf numFmtId="0" fontId="50" fillId="2" borderId="43" xfId="2" applyFont="1" applyFill="1" applyBorder="1" applyAlignment="1">
      <alignment horizontal="left" vertical="center" wrapText="1"/>
    </xf>
    <xf numFmtId="0" fontId="50" fillId="2" borderId="44" xfId="2" applyFont="1" applyFill="1" applyBorder="1" applyAlignment="1">
      <alignment horizontal="left" vertical="center" wrapText="1"/>
    </xf>
    <xf numFmtId="0" fontId="50" fillId="16" borderId="43" xfId="2" applyFont="1" applyFill="1" applyBorder="1" applyAlignment="1">
      <alignment horizontal="left" vertical="center" wrapText="1"/>
    </xf>
    <xf numFmtId="0" fontId="50" fillId="16" borderId="44" xfId="2" applyFont="1" applyFill="1" applyBorder="1" applyAlignment="1">
      <alignment horizontal="left" vertical="center" wrapText="1"/>
    </xf>
    <xf numFmtId="0" fontId="49" fillId="4" borderId="37" xfId="3" applyFont="1" applyFill="1" applyBorder="1" applyAlignment="1">
      <alignment horizontal="left" vertical="top" wrapText="1" readingOrder="1"/>
    </xf>
    <xf numFmtId="0" fontId="49" fillId="4" borderId="38" xfId="3" applyFont="1" applyFill="1" applyBorder="1" applyAlignment="1">
      <alignment horizontal="left" vertical="top" wrapText="1" readingOrder="1"/>
    </xf>
    <xf numFmtId="0" fontId="50" fillId="4" borderId="39" xfId="2" applyFont="1" applyFill="1" applyBorder="1" applyAlignment="1">
      <alignment horizontal="justify" vertical="center" wrapText="1"/>
    </xf>
    <xf numFmtId="0" fontId="50" fillId="4" borderId="40" xfId="2" applyFont="1" applyFill="1" applyBorder="1" applyAlignment="1">
      <alignment horizontal="justify" vertical="center" wrapText="1"/>
    </xf>
    <xf numFmtId="0" fontId="49" fillId="4" borderId="41" xfId="0" applyFont="1" applyFill="1" applyBorder="1" applyAlignment="1">
      <alignment horizontal="left" vertical="center" wrapText="1"/>
    </xf>
    <xf numFmtId="0" fontId="49" fillId="4" borderId="42" xfId="0" applyFont="1" applyFill="1" applyBorder="1" applyAlignment="1">
      <alignment horizontal="left" vertical="center" wrapText="1"/>
    </xf>
    <xf numFmtId="0" fontId="50" fillId="4" borderId="43" xfId="2" applyFont="1" applyFill="1" applyBorder="1" applyAlignment="1">
      <alignment horizontal="justify" vertical="center" wrapText="1"/>
    </xf>
    <xf numFmtId="0" fontId="50" fillId="4" borderId="44" xfId="2" applyFont="1" applyFill="1" applyBorder="1" applyAlignment="1">
      <alignment horizontal="justify" vertical="center" wrapText="1"/>
    </xf>
    <xf numFmtId="0" fontId="45" fillId="13" borderId="27" xfId="2" applyFont="1" applyFill="1" applyBorder="1" applyAlignment="1">
      <alignment horizontal="center" vertical="center" wrapText="1"/>
    </xf>
    <xf numFmtId="0" fontId="45" fillId="13" borderId="28" xfId="2" applyFont="1" applyFill="1" applyBorder="1" applyAlignment="1">
      <alignment horizontal="center" vertical="center" wrapText="1"/>
    </xf>
    <xf numFmtId="0" fontId="45" fillId="13" borderId="29" xfId="2" applyFont="1" applyFill="1" applyBorder="1" applyAlignment="1">
      <alignment horizontal="center" vertical="center" wrapText="1"/>
    </xf>
    <xf numFmtId="0" fontId="44" fillId="0" borderId="3" xfId="2" quotePrefix="1" applyFont="1" applyBorder="1" applyAlignment="1">
      <alignment horizontal="left" vertical="center" wrapText="1"/>
    </xf>
    <xf numFmtId="0" fontId="44" fillId="0" borderId="0" xfId="2" quotePrefix="1" applyFont="1" applyBorder="1" applyAlignment="1">
      <alignment horizontal="left" vertical="center" wrapText="1"/>
    </xf>
    <xf numFmtId="0" fontId="44" fillId="0" borderId="4" xfId="2" quotePrefix="1" applyFont="1" applyBorder="1" applyAlignment="1">
      <alignment horizontal="left" vertical="center" wrapText="1"/>
    </xf>
    <xf numFmtId="0" fontId="44" fillId="0" borderId="47" xfId="2" quotePrefix="1" applyFont="1" applyBorder="1" applyAlignment="1">
      <alignment horizontal="left" vertical="center" wrapText="1"/>
    </xf>
    <xf numFmtId="0" fontId="44" fillId="0" borderId="48" xfId="2" quotePrefix="1" applyFont="1" applyBorder="1" applyAlignment="1">
      <alignment horizontal="left" vertical="center" wrapText="1"/>
    </xf>
    <xf numFmtId="0" fontId="44" fillId="0" borderId="49" xfId="2" quotePrefix="1" applyFont="1" applyBorder="1" applyAlignment="1">
      <alignment horizontal="left" vertical="center" wrapText="1"/>
    </xf>
    <xf numFmtId="0" fontId="46" fillId="2" borderId="30" xfId="2" quotePrefix="1" applyFont="1" applyFill="1" applyBorder="1" applyAlignment="1">
      <alignment horizontal="left" vertical="top" wrapText="1"/>
    </xf>
    <xf numFmtId="0" fontId="47" fillId="2" borderId="31" xfId="2" quotePrefix="1" applyFont="1" applyFill="1" applyBorder="1" applyAlignment="1">
      <alignment horizontal="left" vertical="top" wrapText="1"/>
    </xf>
    <xf numFmtId="0" fontId="47" fillId="2" borderId="32" xfId="2" quotePrefix="1" applyFont="1" applyFill="1" applyBorder="1" applyAlignment="1">
      <alignment horizontal="left" vertical="top" wrapText="1"/>
    </xf>
    <xf numFmtId="0" fontId="44" fillId="0" borderId="3" xfId="2" quotePrefix="1" applyFont="1" applyBorder="1" applyAlignment="1">
      <alignment horizontal="left" vertical="top" wrapText="1"/>
    </xf>
    <xf numFmtId="0" fontId="44" fillId="0" borderId="0" xfId="2" quotePrefix="1" applyFont="1" applyBorder="1" applyAlignment="1">
      <alignment horizontal="left" vertical="top" wrapText="1"/>
    </xf>
    <xf numFmtId="0" fontId="44" fillId="0" borderId="4" xfId="2" quotePrefix="1" applyFont="1" applyBorder="1" applyAlignment="1">
      <alignment horizontal="left" vertical="top" wrapText="1"/>
    </xf>
    <xf numFmtId="0" fontId="49" fillId="13" borderId="33" xfId="3" applyFont="1" applyFill="1" applyBorder="1" applyAlignment="1">
      <alignment horizontal="center" vertical="center" wrapText="1"/>
    </xf>
    <xf numFmtId="0" fontId="49" fillId="13" borderId="34" xfId="3" applyFont="1" applyFill="1" applyBorder="1" applyAlignment="1">
      <alignment horizontal="center" vertical="center" wrapText="1"/>
    </xf>
    <xf numFmtId="0" fontId="49" fillId="13" borderId="35" xfId="2" applyFont="1" applyFill="1" applyBorder="1" applyAlignment="1">
      <alignment horizontal="center" vertical="center"/>
    </xf>
    <xf numFmtId="0" fontId="49" fillId="13" borderId="36" xfId="2" applyFont="1" applyFill="1" applyBorder="1" applyAlignment="1">
      <alignment horizontal="center" vertical="center"/>
    </xf>
    <xf numFmtId="0" fontId="1" fillId="2" borderId="47" xfId="2" quotePrefix="1" applyFont="1" applyFill="1" applyBorder="1" applyAlignment="1">
      <alignment horizontal="justify" vertical="center" wrapText="1"/>
    </xf>
    <xf numFmtId="0" fontId="1" fillId="2" borderId="48" xfId="2" quotePrefix="1" applyFont="1" applyFill="1" applyBorder="1" applyAlignment="1">
      <alignment horizontal="justify" vertical="center" wrapText="1"/>
    </xf>
    <xf numFmtId="0" fontId="1" fillId="2" borderId="49" xfId="2" quotePrefix="1" applyFont="1" applyFill="1" applyBorder="1" applyAlignment="1">
      <alignment horizontal="justify" vertical="center" wrapText="1"/>
    </xf>
    <xf numFmtId="0" fontId="0" fillId="0" borderId="13" xfId="0" applyFont="1" applyBorder="1" applyAlignment="1">
      <alignment horizontal="center" vertical="center"/>
    </xf>
    <xf numFmtId="0" fontId="0" fillId="0" borderId="13" xfId="0" applyFont="1" applyBorder="1" applyAlignment="1">
      <alignment horizontal="center" vertical="center" wrapText="1"/>
    </xf>
    <xf numFmtId="165" fontId="0" fillId="0" borderId="70" xfId="0" applyNumberFormat="1" applyFont="1" applyBorder="1" applyAlignment="1">
      <alignment horizontal="center" vertical="center"/>
    </xf>
    <xf numFmtId="165" fontId="0" fillId="0" borderId="69" xfId="0" applyNumberFormat="1" applyFont="1" applyBorder="1" applyAlignment="1">
      <alignment horizontal="center" vertical="center"/>
    </xf>
    <xf numFmtId="0" fontId="0" fillId="0" borderId="70" xfId="0" applyFont="1" applyBorder="1" applyAlignment="1">
      <alignment horizontal="center" vertical="center" wrapText="1"/>
    </xf>
    <xf numFmtId="0" fontId="0" fillId="0" borderId="69" xfId="0" applyFont="1" applyBorder="1" applyAlignment="1">
      <alignment horizontal="center" vertical="center" wrapText="1"/>
    </xf>
    <xf numFmtId="0" fontId="72" fillId="25" borderId="16" xfId="0" applyFont="1" applyFill="1" applyBorder="1" applyAlignment="1">
      <alignment horizontal="center" vertical="center"/>
    </xf>
    <xf numFmtId="0" fontId="72" fillId="25" borderId="26" xfId="0" applyFont="1" applyFill="1" applyBorder="1" applyAlignment="1">
      <alignment horizontal="center" vertical="center"/>
    </xf>
    <xf numFmtId="0" fontId="72" fillId="0" borderId="115" xfId="0" applyFont="1" applyBorder="1" applyAlignment="1">
      <alignment horizontal="center" vertical="center"/>
    </xf>
    <xf numFmtId="0" fontId="72" fillId="0" borderId="116" xfId="0" applyFont="1" applyBorder="1" applyAlignment="1">
      <alignment horizontal="center" vertical="center"/>
    </xf>
    <xf numFmtId="0" fontId="72" fillId="0" borderId="117" xfId="0" applyFont="1" applyBorder="1" applyAlignment="1">
      <alignment horizontal="center" vertical="center"/>
    </xf>
    <xf numFmtId="0" fontId="72" fillId="0" borderId="5" xfId="0" applyFont="1" applyBorder="1" applyAlignment="1">
      <alignment horizontal="center" vertical="center"/>
    </xf>
    <xf numFmtId="0" fontId="72" fillId="0" borderId="7" xfId="0" applyFont="1" applyBorder="1" applyAlignment="1">
      <alignment horizontal="center" vertical="center"/>
    </xf>
    <xf numFmtId="0" fontId="72" fillId="0" borderId="6" xfId="0" applyFont="1"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72" fillId="0" borderId="70" xfId="0" applyFont="1" applyBorder="1" applyAlignment="1">
      <alignment horizontal="center" vertical="center"/>
    </xf>
    <xf numFmtId="0" fontId="72" fillId="0" borderId="69" xfId="0" applyFont="1" applyBorder="1" applyAlignment="1">
      <alignment horizontal="center" vertical="center"/>
    </xf>
    <xf numFmtId="0" fontId="72" fillId="0" borderId="13" xfId="0" applyFont="1" applyBorder="1" applyAlignment="1">
      <alignment horizontal="center"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0" fillId="0" borderId="69" xfId="0" applyFont="1" applyBorder="1" applyAlignment="1">
      <alignment horizontal="center" vertical="center"/>
    </xf>
    <xf numFmtId="0" fontId="0" fillId="0" borderId="71" xfId="0" applyFont="1" applyBorder="1" applyAlignment="1">
      <alignment horizontal="center" vertical="center" wrapText="1"/>
    </xf>
    <xf numFmtId="0" fontId="72" fillId="25" borderId="15" xfId="0" applyFont="1" applyFill="1" applyBorder="1" applyAlignment="1">
      <alignment horizontal="center" vertical="center"/>
    </xf>
    <xf numFmtId="0" fontId="72" fillId="26" borderId="118" xfId="0" applyFont="1" applyFill="1" applyBorder="1" applyAlignment="1">
      <alignment horizontal="center" vertical="center"/>
    </xf>
    <xf numFmtId="0" fontId="72" fillId="26" borderId="24" xfId="0" applyFont="1" applyFill="1" applyBorder="1" applyAlignment="1">
      <alignment horizontal="center" vertical="center"/>
    </xf>
    <xf numFmtId="0" fontId="72" fillId="26" borderId="25" xfId="0" applyFont="1" applyFill="1" applyBorder="1" applyAlignment="1">
      <alignment horizontal="center" vertical="center"/>
    </xf>
    <xf numFmtId="0" fontId="72" fillId="26" borderId="15" xfId="0" applyFont="1" applyFill="1" applyBorder="1" applyAlignment="1">
      <alignment horizontal="center" vertical="center"/>
    </xf>
    <xf numFmtId="0" fontId="72" fillId="26" borderId="26" xfId="0" applyFont="1" applyFill="1" applyBorder="1" applyAlignment="1">
      <alignment horizontal="center" vertical="center"/>
    </xf>
    <xf numFmtId="0" fontId="0" fillId="0" borderId="14" xfId="0" applyFont="1" applyBorder="1" applyAlignment="1">
      <alignment horizontal="center" vertical="center"/>
    </xf>
    <xf numFmtId="165" fontId="0" fillId="0" borderId="54" xfId="0" applyNumberFormat="1" applyFont="1" applyBorder="1" applyAlignment="1">
      <alignment horizontal="center" vertical="center"/>
    </xf>
    <xf numFmtId="165" fontId="0" fillId="0" borderId="56" xfId="0" applyNumberFormat="1" applyFont="1" applyBorder="1" applyAlignment="1">
      <alignment horizontal="center" vertical="center"/>
    </xf>
    <xf numFmtId="0" fontId="73" fillId="0" borderId="70" xfId="4" applyFont="1" applyBorder="1" applyAlignment="1">
      <alignment horizontal="center" vertical="center" wrapText="1"/>
    </xf>
    <xf numFmtId="0" fontId="73" fillId="0" borderId="71" xfId="4" applyFont="1" applyBorder="1" applyAlignment="1">
      <alignment horizontal="center" vertical="center" wrapText="1"/>
    </xf>
    <xf numFmtId="0" fontId="73" fillId="0" borderId="69" xfId="4" applyFont="1" applyBorder="1" applyAlignment="1">
      <alignment horizontal="center" vertical="center" wrapText="1"/>
    </xf>
    <xf numFmtId="14" fontId="73" fillId="0" borderId="64" xfId="4" applyNumberFormat="1" applyFont="1" applyBorder="1" applyAlignment="1">
      <alignment horizontal="center" vertical="center" wrapText="1"/>
    </xf>
    <xf numFmtId="0" fontId="73" fillId="0" borderId="31" xfId="4" applyFont="1" applyBorder="1" applyAlignment="1">
      <alignment horizontal="center" vertical="center" wrapText="1"/>
    </xf>
    <xf numFmtId="0" fontId="73" fillId="0" borderId="65" xfId="4" applyFont="1" applyBorder="1" applyAlignment="1">
      <alignment horizontal="center" vertical="center" wrapText="1"/>
    </xf>
    <xf numFmtId="0" fontId="89" fillId="0" borderId="70" xfId="4" applyFont="1" applyBorder="1" applyAlignment="1">
      <alignment horizontal="center" vertical="center" wrapText="1"/>
    </xf>
    <xf numFmtId="0" fontId="89" fillId="0" borderId="71" xfId="4" applyFont="1" applyBorder="1" applyAlignment="1">
      <alignment horizontal="center" vertical="center" wrapText="1"/>
    </xf>
    <xf numFmtId="0" fontId="89" fillId="0" borderId="69" xfId="4" applyFont="1" applyBorder="1" applyAlignment="1">
      <alignment horizontal="center" vertical="center" wrapText="1"/>
    </xf>
    <xf numFmtId="0" fontId="89" fillId="0" borderId="64" xfId="0" applyFont="1" applyBorder="1" applyAlignment="1">
      <alignment horizontal="center"/>
    </xf>
    <xf numFmtId="0" fontId="89" fillId="0" borderId="31" xfId="0" applyFont="1" applyBorder="1" applyAlignment="1">
      <alignment horizontal="center"/>
    </xf>
    <xf numFmtId="0" fontId="89" fillId="0" borderId="65" xfId="0" applyFont="1" applyBorder="1" applyAlignment="1">
      <alignment horizontal="center"/>
    </xf>
    <xf numFmtId="0" fontId="53" fillId="18" borderId="70" xfId="0" applyFont="1" applyFill="1" applyBorder="1" applyAlignment="1">
      <alignment horizontal="center"/>
    </xf>
    <xf numFmtId="0" fontId="53" fillId="18" borderId="71" xfId="0" applyFont="1" applyFill="1" applyBorder="1" applyAlignment="1">
      <alignment horizontal="center"/>
    </xf>
    <xf numFmtId="0" fontId="53" fillId="18" borderId="69" xfId="0" applyFont="1" applyFill="1" applyBorder="1" applyAlignment="1">
      <alignment horizontal="center"/>
    </xf>
    <xf numFmtId="0" fontId="80" fillId="0" borderId="0" xfId="0" applyFont="1" applyBorder="1" applyAlignment="1">
      <alignment horizontal="left" vertical="center" wrapText="1"/>
    </xf>
    <xf numFmtId="0" fontId="80" fillId="0" borderId="115" xfId="0" applyFont="1" applyBorder="1" applyAlignment="1">
      <alignment horizontal="center" vertical="center" wrapText="1"/>
    </xf>
    <xf numFmtId="0" fontId="80" fillId="0" borderId="116" xfId="0" applyFont="1" applyBorder="1" applyAlignment="1">
      <alignment horizontal="center" vertical="center" wrapText="1"/>
    </xf>
    <xf numFmtId="0" fontId="80" fillId="0" borderId="117" xfId="0" applyFont="1" applyBorder="1" applyAlignment="1">
      <alignment horizontal="center" vertical="center" wrapText="1"/>
    </xf>
    <xf numFmtId="0" fontId="80" fillId="0" borderId="3" xfId="0" applyFont="1" applyBorder="1" applyAlignment="1">
      <alignment horizontal="center" vertical="center" wrapText="1"/>
    </xf>
    <xf numFmtId="0" fontId="80" fillId="0" borderId="0" xfId="0" applyFont="1" applyBorder="1" applyAlignment="1">
      <alignment horizontal="center" vertical="center" wrapText="1"/>
    </xf>
    <xf numFmtId="0" fontId="80" fillId="0" borderId="4" xfId="0" applyFont="1" applyBorder="1" applyAlignment="1">
      <alignment horizontal="center" vertical="center" wrapText="1"/>
    </xf>
    <xf numFmtId="0" fontId="80" fillId="0" borderId="5" xfId="0" applyFont="1" applyBorder="1" applyAlignment="1">
      <alignment horizontal="center" vertical="center" wrapText="1"/>
    </xf>
    <xf numFmtId="0" fontId="80" fillId="0" borderId="7" xfId="0" applyFont="1" applyBorder="1" applyAlignment="1">
      <alignment horizontal="center" vertical="center" wrapText="1"/>
    </xf>
    <xf numFmtId="0" fontId="80" fillId="0" borderId="6" xfId="0" applyFont="1" applyBorder="1" applyAlignment="1">
      <alignment horizontal="center" vertical="center" wrapText="1"/>
    </xf>
    <xf numFmtId="0" fontId="80" fillId="0" borderId="115" xfId="0" applyFont="1" applyBorder="1" applyAlignment="1">
      <alignment horizontal="left" vertical="center" wrapText="1"/>
    </xf>
    <xf numFmtId="0" fontId="80" fillId="0" borderId="117" xfId="0" applyFont="1" applyBorder="1" applyAlignment="1">
      <alignment horizontal="left" vertical="center" wrapText="1"/>
    </xf>
    <xf numFmtId="0" fontId="80" fillId="0" borderId="3" xfId="0" applyFont="1" applyBorder="1" applyAlignment="1">
      <alignment horizontal="left" vertical="center" wrapText="1"/>
    </xf>
    <xf numFmtId="0" fontId="80" fillId="0" borderId="4" xfId="0" applyFont="1" applyBorder="1" applyAlignment="1">
      <alignment horizontal="left" vertical="center" wrapText="1"/>
    </xf>
    <xf numFmtId="0" fontId="80" fillId="0" borderId="5" xfId="0" applyFont="1" applyBorder="1" applyAlignment="1">
      <alignment horizontal="left" vertical="center" wrapText="1"/>
    </xf>
    <xf numFmtId="0" fontId="80" fillId="0" borderId="6" xfId="0" applyFont="1" applyBorder="1" applyAlignment="1">
      <alignment horizontal="left" vertical="center" wrapText="1"/>
    </xf>
    <xf numFmtId="0" fontId="71" fillId="0" borderId="70" xfId="0" applyFont="1" applyBorder="1" applyAlignment="1">
      <alignment horizontal="center" vertical="center" wrapText="1"/>
    </xf>
    <xf numFmtId="0" fontId="71" fillId="0" borderId="71" xfId="0" applyFont="1" applyBorder="1" applyAlignment="1">
      <alignment horizontal="center" vertical="center" wrapText="1"/>
    </xf>
    <xf numFmtId="0" fontId="71" fillId="0" borderId="69" xfId="0" applyFont="1" applyBorder="1" applyAlignment="1">
      <alignment horizontal="center" vertical="center" wrapText="1"/>
    </xf>
    <xf numFmtId="0" fontId="81" fillId="0" borderId="70" xfId="0" applyFont="1" applyBorder="1" applyAlignment="1">
      <alignment horizontal="center" vertical="center" wrapText="1"/>
    </xf>
    <xf numFmtId="0" fontId="81" fillId="0" borderId="71" xfId="0" applyFont="1" applyBorder="1" applyAlignment="1">
      <alignment horizontal="center" vertical="center" wrapText="1"/>
    </xf>
    <xf numFmtId="0" fontId="81" fillId="0" borderId="69" xfId="0" applyFont="1" applyBorder="1" applyAlignment="1">
      <alignment horizontal="center" vertical="center" wrapText="1"/>
    </xf>
    <xf numFmtId="0" fontId="77" fillId="22" borderId="70" xfId="0" applyFont="1" applyFill="1" applyBorder="1" applyAlignment="1">
      <alignment horizontal="center" vertical="center" wrapText="1"/>
    </xf>
    <xf numFmtId="0" fontId="77" fillId="22" borderId="71" xfId="0" applyFont="1" applyFill="1" applyBorder="1" applyAlignment="1">
      <alignment horizontal="center" vertical="center" wrapText="1"/>
    </xf>
    <xf numFmtId="0" fontId="77" fillId="22" borderId="69" xfId="0" applyFont="1" applyFill="1" applyBorder="1" applyAlignment="1">
      <alignment horizontal="center" vertical="center" wrapText="1"/>
    </xf>
    <xf numFmtId="0" fontId="69" fillId="0" borderId="67" xfId="0" applyFont="1" applyBorder="1" applyAlignment="1" applyProtection="1">
      <alignment horizontal="center" vertical="center"/>
      <protection hidden="1"/>
    </xf>
    <xf numFmtId="0" fontId="69" fillId="0" borderId="74" xfId="0" applyFont="1" applyBorder="1" applyAlignment="1" applyProtection="1">
      <alignment horizontal="center" vertical="center"/>
      <protection hidden="1"/>
    </xf>
    <xf numFmtId="0" fontId="69" fillId="0" borderId="14" xfId="0" applyFont="1" applyBorder="1" applyAlignment="1" applyProtection="1">
      <alignment horizontal="center" vertical="center"/>
      <protection hidden="1"/>
    </xf>
    <xf numFmtId="0" fontId="69" fillId="0" borderId="67" xfId="0" applyFont="1" applyBorder="1" applyAlignment="1" applyProtection="1">
      <alignment horizontal="center" vertical="center" wrapText="1"/>
      <protection hidden="1"/>
    </xf>
    <xf numFmtId="0" fontId="69" fillId="0" borderId="14" xfId="0" applyFont="1" applyBorder="1" applyAlignment="1" applyProtection="1">
      <alignment horizontal="center" vertical="center" wrapText="1"/>
      <protection hidden="1"/>
    </xf>
    <xf numFmtId="9" fontId="65" fillId="0" borderId="67" xfId="0" applyNumberFormat="1" applyFont="1" applyBorder="1" applyAlignment="1" applyProtection="1">
      <alignment horizontal="center" vertical="center" wrapText="1"/>
      <protection hidden="1"/>
    </xf>
    <xf numFmtId="9" fontId="65" fillId="0" borderId="14" xfId="0" applyNumberFormat="1" applyFont="1" applyBorder="1" applyAlignment="1" applyProtection="1">
      <alignment horizontal="center" vertical="center" wrapText="1"/>
      <protection hidden="1"/>
    </xf>
    <xf numFmtId="0" fontId="69" fillId="0" borderId="82" xfId="0" applyFont="1" applyBorder="1" applyAlignment="1" applyProtection="1">
      <alignment horizontal="center" vertical="center"/>
      <protection hidden="1"/>
    </xf>
    <xf numFmtId="0" fontId="69" fillId="0" borderId="95" xfId="0" applyFont="1" applyBorder="1" applyAlignment="1" applyProtection="1">
      <alignment horizontal="center" vertical="center"/>
      <protection hidden="1"/>
    </xf>
    <xf numFmtId="9" fontId="65" fillId="0" borderId="74" xfId="0" applyNumberFormat="1" applyFont="1" applyBorder="1" applyAlignment="1" applyProtection="1">
      <alignment horizontal="center" vertical="center" wrapText="1"/>
      <protection hidden="1"/>
    </xf>
    <xf numFmtId="0" fontId="69" fillId="0" borderId="74" xfId="0" applyFont="1" applyBorder="1" applyAlignment="1" applyProtection="1">
      <alignment horizontal="center" vertical="center" wrapText="1"/>
      <protection hidden="1"/>
    </xf>
    <xf numFmtId="0" fontId="65" fillId="0" borderId="107" xfId="0" applyFont="1" applyBorder="1" applyAlignment="1" applyProtection="1">
      <alignment horizontal="center" vertical="center" textRotation="90"/>
      <protection locked="0"/>
    </xf>
    <xf numFmtId="0" fontId="65" fillId="0" borderId="105" xfId="0" applyFont="1" applyBorder="1" applyAlignment="1" applyProtection="1">
      <alignment horizontal="center" vertical="center" textRotation="90"/>
      <protection locked="0"/>
    </xf>
    <xf numFmtId="0" fontId="65" fillId="2" borderId="67" xfId="0" applyFont="1" applyFill="1" applyBorder="1" applyAlignment="1">
      <alignment horizontal="center" vertical="center" wrapText="1"/>
    </xf>
    <xf numFmtId="0" fontId="65" fillId="2" borderId="14" xfId="0" applyFont="1" applyFill="1" applyBorder="1" applyAlignment="1">
      <alignment horizontal="center" vertical="center" wrapText="1"/>
    </xf>
    <xf numFmtId="0" fontId="65" fillId="0" borderId="67" xfId="0" applyFont="1" applyBorder="1" applyAlignment="1" applyProtection="1">
      <alignment horizontal="center" vertical="center"/>
      <protection hidden="1"/>
    </xf>
    <xf numFmtId="0" fontId="65" fillId="0" borderId="14" xfId="0" applyFont="1" applyBorder="1" applyAlignment="1" applyProtection="1">
      <alignment horizontal="center" vertical="center"/>
      <protection hidden="1"/>
    </xf>
    <xf numFmtId="0" fontId="42" fillId="0" borderId="67" xfId="0" applyFont="1" applyBorder="1" applyAlignment="1">
      <alignment horizontal="center" vertical="center" wrapText="1"/>
    </xf>
    <xf numFmtId="0" fontId="42" fillId="0" borderId="14" xfId="0" applyFont="1" applyBorder="1" applyAlignment="1">
      <alignment horizontal="center" vertical="center" wrapText="1"/>
    </xf>
    <xf numFmtId="9" fontId="65" fillId="0" borderId="67" xfId="0" applyNumberFormat="1" applyFont="1" applyBorder="1" applyAlignment="1" applyProtection="1">
      <alignment horizontal="center" vertical="center" wrapText="1"/>
      <protection locked="0"/>
    </xf>
    <xf numFmtId="9" fontId="65" fillId="0" borderId="74" xfId="0" applyNumberFormat="1" applyFont="1" applyBorder="1" applyAlignment="1" applyProtection="1">
      <alignment horizontal="center" vertical="center" wrapText="1"/>
      <protection locked="0"/>
    </xf>
    <xf numFmtId="9" fontId="65" fillId="0" borderId="14" xfId="0" applyNumberFormat="1" applyFont="1" applyBorder="1" applyAlignment="1" applyProtection="1">
      <alignment horizontal="center" vertical="center" wrapText="1"/>
      <protection locked="0"/>
    </xf>
    <xf numFmtId="9" fontId="65" fillId="0" borderId="63" xfId="0" applyNumberFormat="1" applyFont="1" applyBorder="1" applyAlignment="1" applyProtection="1">
      <alignment horizontal="center" vertical="center" wrapText="1"/>
      <protection hidden="1"/>
    </xf>
    <xf numFmtId="9" fontId="65" fillId="0" borderId="94" xfId="0" applyNumberFormat="1" applyFont="1" applyBorder="1" applyAlignment="1" applyProtection="1">
      <alignment horizontal="center" vertical="center" wrapText="1"/>
      <protection hidden="1"/>
    </xf>
    <xf numFmtId="0" fontId="74" fillId="2" borderId="0" xfId="0" applyFont="1" applyFill="1" applyBorder="1" applyAlignment="1">
      <alignment horizontal="center" vertical="center" wrapText="1"/>
    </xf>
    <xf numFmtId="0" fontId="74" fillId="2" borderId="0" xfId="0" applyFont="1" applyFill="1" applyBorder="1" applyAlignment="1">
      <alignment horizontal="center" vertical="center"/>
    </xf>
    <xf numFmtId="0" fontId="63" fillId="2" borderId="0" xfId="0" applyFont="1" applyFill="1" applyBorder="1" applyAlignment="1">
      <alignment horizontal="center" vertical="center"/>
    </xf>
    <xf numFmtId="0" fontId="80" fillId="2" borderId="0" xfId="0" applyFont="1" applyFill="1" applyBorder="1" applyAlignment="1">
      <alignment horizontal="left" vertical="center" wrapText="1"/>
    </xf>
    <xf numFmtId="0" fontId="69" fillId="0" borderId="64" xfId="0" applyFont="1" applyBorder="1" applyAlignment="1" applyProtection="1">
      <alignment horizontal="center" vertical="center"/>
      <protection hidden="1"/>
    </xf>
    <xf numFmtId="0" fontId="69" fillId="0" borderId="54" xfId="0" applyFont="1" applyBorder="1" applyAlignment="1" applyProtection="1">
      <alignment horizontal="center" vertical="center"/>
      <protection hidden="1"/>
    </xf>
    <xf numFmtId="0" fontId="65" fillId="0" borderId="67" xfId="0" applyFont="1" applyBorder="1" applyAlignment="1" applyProtection="1">
      <alignment horizontal="center" vertical="center" wrapText="1"/>
      <protection locked="0"/>
    </xf>
    <xf numFmtId="0" fontId="65" fillId="0" borderId="95" xfId="0" applyFont="1" applyBorder="1" applyAlignment="1" applyProtection="1">
      <alignment horizontal="center" vertical="center" wrapText="1"/>
      <protection locked="0"/>
    </xf>
    <xf numFmtId="0" fontId="65" fillId="0" borderId="67" xfId="0" applyFont="1" applyBorder="1" applyAlignment="1">
      <alignment horizontal="center" vertical="center"/>
    </xf>
    <xf numFmtId="0" fontId="65" fillId="0" borderId="14" xfId="0" applyFont="1" applyBorder="1" applyAlignment="1">
      <alignment horizontal="center" vertical="center"/>
    </xf>
    <xf numFmtId="0" fontId="65" fillId="0" borderId="93" xfId="0" applyFont="1" applyBorder="1" applyAlignment="1" applyProtection="1">
      <alignment horizontal="center" vertical="center" textRotation="90"/>
      <protection locked="0"/>
    </xf>
    <xf numFmtId="0" fontId="65" fillId="0" borderId="108" xfId="0" applyFont="1" applyBorder="1" applyAlignment="1" applyProtection="1">
      <alignment horizontal="center" vertical="center" textRotation="90"/>
      <protection locked="0"/>
    </xf>
    <xf numFmtId="0" fontId="65" fillId="0" borderId="67" xfId="0" applyFont="1" applyBorder="1" applyAlignment="1" applyProtection="1">
      <alignment horizontal="center" vertical="center" textRotation="90"/>
      <protection locked="0"/>
    </xf>
    <xf numFmtId="0" fontId="65" fillId="0" borderId="95" xfId="0" applyFont="1" applyBorder="1" applyAlignment="1" applyProtection="1">
      <alignment horizontal="center" vertical="center" textRotation="90"/>
      <protection locked="0"/>
    </xf>
    <xf numFmtId="0" fontId="65" fillId="0" borderId="67" xfId="0" applyFont="1" applyBorder="1" applyAlignment="1" applyProtection="1">
      <alignment horizontal="center" vertical="center" textRotation="90" wrapText="1"/>
      <protection locked="0"/>
    </xf>
    <xf numFmtId="0" fontId="65" fillId="0" borderId="14" xfId="0" applyFont="1" applyBorder="1" applyAlignment="1" applyProtection="1">
      <alignment horizontal="center" vertical="center" textRotation="90" wrapText="1"/>
      <protection locked="0"/>
    </xf>
    <xf numFmtId="0" fontId="65" fillId="0" borderId="14" xfId="0" applyFont="1" applyBorder="1" applyAlignment="1" applyProtection="1">
      <alignment horizontal="center" vertical="center" textRotation="90"/>
      <protection locked="0"/>
    </xf>
    <xf numFmtId="9" fontId="65" fillId="0" borderId="67" xfId="0" applyNumberFormat="1" applyFont="1" applyBorder="1" applyAlignment="1" applyProtection="1">
      <alignment horizontal="center" vertical="center"/>
      <protection hidden="1"/>
    </xf>
    <xf numFmtId="9" fontId="65" fillId="0" borderId="95" xfId="0" applyNumberFormat="1" applyFont="1" applyBorder="1" applyAlignment="1" applyProtection="1">
      <alignment horizontal="center" vertical="center"/>
      <protection hidden="1"/>
    </xf>
    <xf numFmtId="0" fontId="65" fillId="0" borderId="67" xfId="0" applyFont="1" applyBorder="1" applyAlignment="1" applyProtection="1">
      <alignment horizontal="center" vertical="center"/>
      <protection locked="0"/>
    </xf>
    <xf numFmtId="0" fontId="65" fillId="0" borderId="14" xfId="0" applyFont="1" applyBorder="1" applyAlignment="1" applyProtection="1">
      <alignment horizontal="center" vertical="center"/>
      <protection locked="0"/>
    </xf>
    <xf numFmtId="0" fontId="69" fillId="0" borderId="31" xfId="0" applyFont="1" applyBorder="1" applyAlignment="1" applyProtection="1">
      <alignment horizontal="center" vertical="center"/>
      <protection hidden="1"/>
    </xf>
    <xf numFmtId="0" fontId="69" fillId="0" borderId="0" xfId="0" applyFont="1" applyBorder="1" applyAlignment="1" applyProtection="1">
      <alignment horizontal="center" vertical="center"/>
      <protection hidden="1"/>
    </xf>
    <xf numFmtId="0" fontId="65" fillId="0" borderId="74" xfId="0" applyFont="1" applyBorder="1" applyAlignment="1">
      <alignment horizontal="center" vertical="center"/>
    </xf>
    <xf numFmtId="0" fontId="63" fillId="6" borderId="115" xfId="0" applyFont="1" applyFill="1" applyBorder="1" applyAlignment="1">
      <alignment horizontal="center" vertical="center"/>
    </xf>
    <xf numFmtId="0" fontId="63" fillId="6" borderId="116" xfId="0" applyFont="1" applyFill="1" applyBorder="1" applyAlignment="1">
      <alignment horizontal="center" vertical="center"/>
    </xf>
    <xf numFmtId="0" fontId="63" fillId="6" borderId="117" xfId="0" applyFont="1" applyFill="1" applyBorder="1" applyAlignment="1">
      <alignment horizontal="center" vertical="center"/>
    </xf>
    <xf numFmtId="0" fontId="63" fillId="6" borderId="5" xfId="0" applyFont="1" applyFill="1" applyBorder="1" applyAlignment="1">
      <alignment horizontal="center" vertical="center"/>
    </xf>
    <xf numFmtId="0" fontId="63" fillId="6" borderId="7" xfId="0" applyFont="1" applyFill="1" applyBorder="1" applyAlignment="1">
      <alignment horizontal="center" vertical="center"/>
    </xf>
    <xf numFmtId="0" fontId="63" fillId="6" borderId="6" xfId="0" applyFont="1" applyFill="1" applyBorder="1" applyAlignment="1">
      <alignment horizontal="center" vertical="center"/>
    </xf>
    <xf numFmtId="0" fontId="74" fillId="12" borderId="115" xfId="0" applyFont="1" applyFill="1" applyBorder="1" applyAlignment="1">
      <alignment horizontal="center" vertical="center"/>
    </xf>
    <xf numFmtId="0" fontId="74" fillId="12" borderId="116" xfId="0" applyFont="1" applyFill="1" applyBorder="1" applyAlignment="1">
      <alignment horizontal="center" vertical="center"/>
    </xf>
    <xf numFmtId="0" fontId="74" fillId="12" borderId="117" xfId="0" applyFont="1" applyFill="1" applyBorder="1" applyAlignment="1">
      <alignment horizontal="center" vertical="center"/>
    </xf>
    <xf numFmtId="0" fontId="74" fillId="12" borderId="5" xfId="0" applyFont="1" applyFill="1" applyBorder="1" applyAlignment="1">
      <alignment horizontal="center" vertical="center"/>
    </xf>
    <xf numFmtId="0" fontId="74" fillId="12" borderId="7" xfId="0" applyFont="1" applyFill="1" applyBorder="1" applyAlignment="1">
      <alignment horizontal="center" vertical="center"/>
    </xf>
    <xf numFmtId="0" fontId="74" fillId="12" borderId="6" xfId="0" applyFont="1" applyFill="1" applyBorder="1" applyAlignment="1">
      <alignment horizontal="center" vertical="center"/>
    </xf>
    <xf numFmtId="0" fontId="54" fillId="12" borderId="115" xfId="0" applyFont="1" applyFill="1" applyBorder="1" applyAlignment="1">
      <alignment horizontal="center" vertical="center" wrapText="1"/>
    </xf>
    <xf numFmtId="0" fontId="54" fillId="12" borderId="117" xfId="0" applyFont="1" applyFill="1" applyBorder="1" applyAlignment="1">
      <alignment horizontal="center" vertical="center" wrapText="1"/>
    </xf>
    <xf numFmtId="0" fontId="54" fillId="12" borderId="5" xfId="0" applyFont="1" applyFill="1" applyBorder="1" applyAlignment="1">
      <alignment horizontal="center" vertical="center" wrapText="1"/>
    </xf>
    <xf numFmtId="0" fontId="54" fillId="12" borderId="6" xfId="0" applyFont="1" applyFill="1" applyBorder="1" applyAlignment="1">
      <alignment horizontal="center" vertical="center" wrapText="1"/>
    </xf>
    <xf numFmtId="0" fontId="74" fillId="12" borderId="115" xfId="0" applyFont="1" applyFill="1" applyBorder="1" applyAlignment="1">
      <alignment horizontal="center" vertical="center" wrapText="1"/>
    </xf>
    <xf numFmtId="0" fontId="74" fillId="12" borderId="117" xfId="0" applyFont="1" applyFill="1" applyBorder="1" applyAlignment="1">
      <alignment horizontal="center" vertical="center" wrapText="1"/>
    </xf>
    <xf numFmtId="0" fontId="74" fillId="12" borderId="5" xfId="0" applyFont="1" applyFill="1" applyBorder="1" applyAlignment="1">
      <alignment horizontal="center" vertical="center" wrapText="1"/>
    </xf>
    <xf numFmtId="0" fontId="74" fillId="12" borderId="6" xfId="0" applyFont="1" applyFill="1" applyBorder="1" applyAlignment="1">
      <alignment horizontal="center" vertical="center" wrapText="1"/>
    </xf>
    <xf numFmtId="0" fontId="74" fillId="12" borderId="116" xfId="0" applyFont="1" applyFill="1" applyBorder="1" applyAlignment="1">
      <alignment horizontal="center" vertical="center" wrapText="1"/>
    </xf>
    <xf numFmtId="0" fontId="74" fillId="12" borderId="7" xfId="0" applyFont="1" applyFill="1" applyBorder="1" applyAlignment="1">
      <alignment horizontal="center" vertical="center" wrapText="1"/>
    </xf>
    <xf numFmtId="0" fontId="80" fillId="0" borderId="116" xfId="0" applyFont="1" applyBorder="1" applyAlignment="1">
      <alignment horizontal="left" vertical="center" wrapText="1"/>
    </xf>
    <xf numFmtId="0" fontId="80" fillId="0" borderId="7" xfId="0" applyFont="1" applyBorder="1" applyAlignment="1">
      <alignment horizontal="left" vertical="center" wrapText="1"/>
    </xf>
    <xf numFmtId="9" fontId="65" fillId="0" borderId="14" xfId="0" applyNumberFormat="1" applyFont="1" applyBorder="1" applyAlignment="1" applyProtection="1">
      <alignment horizontal="center" vertical="center"/>
      <protection hidden="1"/>
    </xf>
    <xf numFmtId="164" fontId="65" fillId="0" borderId="79" xfId="1" applyNumberFormat="1" applyFont="1" applyBorder="1" applyAlignment="1">
      <alignment horizontal="center" vertical="center"/>
    </xf>
    <xf numFmtId="164" fontId="65" fillId="0" borderId="105" xfId="1" applyNumberFormat="1" applyFont="1" applyBorder="1" applyAlignment="1">
      <alignment horizontal="center" vertical="center"/>
    </xf>
    <xf numFmtId="0" fontId="65" fillId="0" borderId="74" xfId="0" applyFont="1" applyBorder="1" applyAlignment="1" applyProtection="1">
      <alignment horizontal="center" vertical="center"/>
      <protection locked="0"/>
    </xf>
    <xf numFmtId="0" fontId="67" fillId="2" borderId="13" xfId="0" applyFont="1" applyFill="1" applyBorder="1" applyAlignment="1">
      <alignment horizontal="center" vertical="center" textRotation="90" wrapText="1"/>
    </xf>
    <xf numFmtId="0" fontId="69" fillId="0" borderId="65" xfId="0" applyFont="1" applyBorder="1" applyAlignment="1" applyProtection="1">
      <alignment horizontal="center" vertical="center" wrapText="1"/>
      <protection hidden="1"/>
    </xf>
    <xf numFmtId="0" fontId="69" fillId="0" borderId="56" xfId="0" applyFont="1" applyBorder="1" applyAlignment="1" applyProtection="1">
      <alignment horizontal="center" vertical="center" wrapText="1"/>
      <protection hidden="1"/>
    </xf>
    <xf numFmtId="0" fontId="65" fillId="2" borderId="74" xfId="0" applyFont="1" applyFill="1" applyBorder="1" applyAlignment="1" applyProtection="1">
      <alignment horizontal="center" vertical="center"/>
      <protection locked="0"/>
    </xf>
    <xf numFmtId="0" fontId="65" fillId="2" borderId="14" xfId="0" applyFont="1" applyFill="1" applyBorder="1" applyAlignment="1" applyProtection="1">
      <alignment horizontal="center" vertical="center"/>
      <protection locked="0"/>
    </xf>
    <xf numFmtId="9" fontId="65" fillId="0" borderId="75" xfId="0" applyNumberFormat="1" applyFont="1" applyBorder="1" applyAlignment="1" applyProtection="1">
      <alignment horizontal="center" vertical="center" wrapText="1"/>
      <protection hidden="1"/>
    </xf>
    <xf numFmtId="9" fontId="65" fillId="0" borderId="106" xfId="0" applyNumberFormat="1" applyFont="1" applyBorder="1" applyAlignment="1" applyProtection="1">
      <alignment horizontal="center" vertical="center" wrapText="1"/>
      <protection hidden="1"/>
    </xf>
    <xf numFmtId="9" fontId="65" fillId="0" borderId="93" xfId="0" applyNumberFormat="1" applyFont="1" applyBorder="1" applyAlignment="1" applyProtection="1">
      <alignment horizontal="center" vertical="center" wrapText="1"/>
      <protection hidden="1"/>
    </xf>
    <xf numFmtId="9" fontId="65" fillId="0" borderId="108" xfId="0" applyNumberFormat="1" applyFont="1" applyBorder="1" applyAlignment="1" applyProtection="1">
      <alignment horizontal="center" vertical="center" wrapText="1"/>
      <protection hidden="1"/>
    </xf>
    <xf numFmtId="0" fontId="65" fillId="0" borderId="74" xfId="0" applyFont="1" applyBorder="1" applyAlignment="1" applyProtection="1">
      <alignment horizontal="center" vertical="center" wrapText="1"/>
      <protection locked="0"/>
    </xf>
    <xf numFmtId="0" fontId="73" fillId="2" borderId="67" xfId="0" applyFont="1" applyFill="1" applyBorder="1" applyAlignment="1" applyProtection="1">
      <alignment horizontal="center" vertical="center" wrapText="1"/>
      <protection locked="0"/>
    </xf>
    <xf numFmtId="0" fontId="73" fillId="2" borderId="74" xfId="0" applyFont="1" applyFill="1" applyBorder="1" applyAlignment="1" applyProtection="1">
      <alignment horizontal="center" vertical="center" wrapText="1"/>
      <protection locked="0"/>
    </xf>
    <xf numFmtId="0" fontId="73" fillId="2" borderId="14" xfId="0" applyFont="1" applyFill="1" applyBorder="1" applyAlignment="1" applyProtection="1">
      <alignment horizontal="center" vertical="center" wrapText="1"/>
      <protection locked="0"/>
    </xf>
    <xf numFmtId="0" fontId="69" fillId="0" borderId="96" xfId="0" applyFont="1" applyBorder="1" applyAlignment="1" applyProtection="1">
      <alignment horizontal="center" vertical="center" wrapText="1"/>
      <protection hidden="1"/>
    </xf>
    <xf numFmtId="0" fontId="69" fillId="0" borderId="72" xfId="0" applyFont="1" applyBorder="1" applyAlignment="1" applyProtection="1">
      <alignment horizontal="center" vertical="center" wrapText="1"/>
      <protection hidden="1"/>
    </xf>
    <xf numFmtId="0" fontId="65" fillId="0" borderId="67" xfId="0" applyFont="1" applyBorder="1" applyAlignment="1">
      <alignment horizontal="center" vertical="center" wrapText="1"/>
    </xf>
    <xf numFmtId="0" fontId="65" fillId="0" borderId="14" xfId="0" applyFont="1" applyBorder="1" applyAlignment="1">
      <alignment horizontal="center" vertical="center" wrapText="1"/>
    </xf>
    <xf numFmtId="0" fontId="65" fillId="0" borderId="14" xfId="0" applyFont="1" applyBorder="1" applyAlignment="1" applyProtection="1">
      <alignment horizontal="center" vertical="center" wrapText="1"/>
      <protection locked="0"/>
    </xf>
    <xf numFmtId="0" fontId="69" fillId="0" borderId="78" xfId="0" applyFont="1" applyBorder="1" applyAlignment="1" applyProtection="1">
      <alignment horizontal="center" vertical="center" wrapText="1"/>
      <protection hidden="1"/>
    </xf>
    <xf numFmtId="0" fontId="69" fillId="0" borderId="84" xfId="0" applyFont="1" applyBorder="1" applyAlignment="1" applyProtection="1">
      <alignment horizontal="center" vertical="center" wrapText="1"/>
      <protection hidden="1"/>
    </xf>
    <xf numFmtId="0" fontId="73" fillId="0" borderId="67" xfId="0" applyFont="1" applyBorder="1" applyAlignment="1">
      <alignment horizontal="center" vertical="center"/>
    </xf>
    <xf numFmtId="0" fontId="73" fillId="0" borderId="14" xfId="0" applyFont="1" applyBorder="1" applyAlignment="1">
      <alignment horizontal="center" vertical="center"/>
    </xf>
    <xf numFmtId="0" fontId="63" fillId="0" borderId="69" xfId="0" applyFont="1" applyBorder="1" applyAlignment="1">
      <alignment horizontal="center" vertical="center"/>
    </xf>
    <xf numFmtId="0" fontId="65" fillId="0" borderId="74" xfId="0" applyFont="1" applyBorder="1" applyAlignment="1">
      <alignment horizontal="center" vertical="center" wrapText="1"/>
    </xf>
    <xf numFmtId="0" fontId="71" fillId="0" borderId="64" xfId="0" applyFont="1" applyBorder="1" applyAlignment="1">
      <alignment horizontal="center" vertical="center" wrapText="1"/>
    </xf>
    <xf numFmtId="0" fontId="71" fillId="0" borderId="65" xfId="0" applyFont="1" applyBorder="1" applyAlignment="1">
      <alignment horizontal="center" vertical="center" wrapText="1"/>
    </xf>
    <xf numFmtId="0" fontId="71" fillId="0" borderId="57" xfId="0" applyFont="1" applyBorder="1" applyAlignment="1">
      <alignment horizontal="center" vertical="center" wrapText="1"/>
    </xf>
    <xf numFmtId="0" fontId="71" fillId="0" borderId="55" xfId="0" applyFont="1" applyBorder="1" applyAlignment="1">
      <alignment horizontal="center" vertical="center" wrapText="1"/>
    </xf>
    <xf numFmtId="0" fontId="75" fillId="0" borderId="13" xfId="0" applyFont="1" applyBorder="1" applyAlignment="1">
      <alignment horizontal="center" vertical="center" wrapText="1"/>
    </xf>
    <xf numFmtId="0" fontId="81" fillId="0" borderId="13" xfId="0" applyFont="1" applyBorder="1" applyAlignment="1">
      <alignment horizontal="center" vertical="center" wrapText="1"/>
    </xf>
    <xf numFmtId="0" fontId="42" fillId="0" borderId="67" xfId="0" applyFont="1" applyBorder="1" applyAlignment="1" applyProtection="1">
      <alignment horizontal="center" vertical="center" wrapText="1"/>
      <protection locked="0"/>
    </xf>
    <xf numFmtId="0" fontId="42" fillId="0" borderId="14" xfId="0" applyFont="1" applyBorder="1" applyAlignment="1" applyProtection="1">
      <alignment horizontal="center" vertical="center" wrapText="1"/>
      <protection locked="0"/>
    </xf>
    <xf numFmtId="0" fontId="65" fillId="17" borderId="67" xfId="0" applyFont="1" applyFill="1" applyBorder="1" applyAlignment="1">
      <alignment horizontal="center" vertical="center" wrapText="1"/>
    </xf>
    <xf numFmtId="0" fontId="65" fillId="17" borderId="74" xfId="0" applyFont="1" applyFill="1" applyBorder="1" applyAlignment="1">
      <alignment horizontal="center" vertical="center" wrapText="1"/>
    </xf>
    <xf numFmtId="0" fontId="65" fillId="17" borderId="14" xfId="0" applyFont="1" applyFill="1" applyBorder="1" applyAlignment="1">
      <alignment horizontal="center" vertical="center" wrapText="1"/>
    </xf>
    <xf numFmtId="0" fontId="65" fillId="0" borderId="83" xfId="0" applyFont="1" applyBorder="1" applyAlignment="1" applyProtection="1">
      <alignment horizontal="center" vertical="center" textRotation="90"/>
      <protection locked="0"/>
    </xf>
    <xf numFmtId="0" fontId="65" fillId="0" borderId="84" xfId="0" applyFont="1" applyBorder="1" applyAlignment="1" applyProtection="1">
      <alignment horizontal="center" vertical="center" textRotation="90"/>
      <protection locked="0"/>
    </xf>
    <xf numFmtId="164" fontId="65" fillId="0" borderId="67" xfId="1" applyNumberFormat="1" applyFont="1" applyBorder="1" applyAlignment="1">
      <alignment horizontal="center" vertical="center"/>
    </xf>
    <xf numFmtId="164" fontId="65" fillId="0" borderId="14" xfId="1" applyNumberFormat="1" applyFont="1" applyBorder="1" applyAlignment="1">
      <alignment horizontal="center" vertical="center"/>
    </xf>
    <xf numFmtId="0" fontId="69" fillId="0" borderId="67" xfId="0" applyFont="1" applyBorder="1" applyAlignment="1" applyProtection="1">
      <alignment horizontal="center" vertical="center" textRotation="90" wrapText="1"/>
      <protection hidden="1"/>
    </xf>
    <xf numFmtId="0" fontId="69" fillId="0" borderId="14" xfId="0" applyFont="1" applyBorder="1" applyAlignment="1" applyProtection="1">
      <alignment horizontal="center" vertical="center" textRotation="90" wrapText="1"/>
      <protection hidden="1"/>
    </xf>
    <xf numFmtId="0" fontId="66" fillId="15" borderId="67" xfId="0" applyFont="1" applyFill="1" applyBorder="1" applyAlignment="1">
      <alignment horizontal="center" vertical="center" textRotation="90" wrapText="1"/>
    </xf>
    <xf numFmtId="0" fontId="66" fillId="15" borderId="14" xfId="0" applyFont="1" applyFill="1" applyBorder="1" applyAlignment="1">
      <alignment horizontal="center" vertical="center" textRotation="90" wrapText="1"/>
    </xf>
    <xf numFmtId="0" fontId="78" fillId="0" borderId="67" xfId="0" applyFont="1" applyBorder="1" applyAlignment="1">
      <alignment horizontal="center" vertical="center" textRotation="90"/>
    </xf>
    <xf numFmtId="0" fontId="78" fillId="0" borderId="74" xfId="0" applyFont="1" applyBorder="1" applyAlignment="1">
      <alignment horizontal="center" vertical="center" textRotation="90"/>
    </xf>
    <xf numFmtId="0" fontId="78" fillId="0" borderId="14" xfId="0" applyFont="1" applyBorder="1" applyAlignment="1">
      <alignment horizontal="center" vertical="center" textRotation="90"/>
    </xf>
    <xf numFmtId="0" fontId="78" fillId="0" borderId="65" xfId="0" applyFont="1" applyBorder="1" applyAlignment="1">
      <alignment horizontal="center" vertical="center" textRotation="90"/>
    </xf>
    <xf numFmtId="0" fontId="78" fillId="0" borderId="55" xfId="0" applyFont="1" applyBorder="1" applyAlignment="1">
      <alignment horizontal="center" vertical="center" textRotation="90"/>
    </xf>
    <xf numFmtId="0" fontId="65" fillId="0" borderId="82" xfId="0" applyFont="1" applyBorder="1" applyAlignment="1" applyProtection="1">
      <alignment horizontal="center" vertical="center" wrapText="1"/>
      <protection locked="0"/>
    </xf>
    <xf numFmtId="0" fontId="73" fillId="0" borderId="67" xfId="0" applyFont="1" applyBorder="1" applyAlignment="1">
      <alignment horizontal="center" vertical="center" wrapText="1"/>
    </xf>
    <xf numFmtId="0" fontId="73" fillId="0" borderId="74" xfId="0" applyFont="1" applyBorder="1" applyAlignment="1">
      <alignment horizontal="center" vertical="center" wrapText="1"/>
    </xf>
    <xf numFmtId="0" fontId="73" fillId="0" borderId="14" xfId="0" applyFont="1" applyBorder="1" applyAlignment="1">
      <alignment horizontal="center" vertical="center" wrapText="1"/>
    </xf>
    <xf numFmtId="9" fontId="65" fillId="0" borderId="107" xfId="0" applyNumberFormat="1" applyFont="1" applyBorder="1" applyAlignment="1" applyProtection="1">
      <alignment horizontal="center" vertical="center" wrapText="1"/>
      <protection hidden="1"/>
    </xf>
    <xf numFmtId="9" fontId="65" fillId="0" borderId="105" xfId="0" applyNumberFormat="1" applyFont="1" applyBorder="1" applyAlignment="1" applyProtection="1">
      <alignment horizontal="center" vertical="center" wrapText="1"/>
      <protection hidden="1"/>
    </xf>
    <xf numFmtId="0" fontId="73" fillId="0" borderId="74" xfId="0" applyFont="1" applyBorder="1" applyAlignment="1">
      <alignment horizontal="center" vertical="center"/>
    </xf>
    <xf numFmtId="0" fontId="73" fillId="2" borderId="67" xfId="0" applyFont="1" applyFill="1" applyBorder="1" applyAlignment="1">
      <alignment horizontal="center" vertical="center"/>
    </xf>
    <xf numFmtId="0" fontId="73" fillId="2" borderId="74" xfId="0" applyFont="1" applyFill="1" applyBorder="1" applyAlignment="1">
      <alignment horizontal="center" vertical="center"/>
    </xf>
    <xf numFmtId="0" fontId="73" fillId="2" borderId="14" xfId="0" applyFont="1" applyFill="1" applyBorder="1" applyAlignment="1">
      <alignment horizontal="center" vertical="center"/>
    </xf>
    <xf numFmtId="9" fontId="65" fillId="0" borderId="78" xfId="0" applyNumberFormat="1" applyFont="1" applyBorder="1" applyAlignment="1" applyProtection="1">
      <alignment horizontal="center" vertical="center" wrapText="1"/>
      <protection hidden="1"/>
    </xf>
    <xf numFmtId="0" fontId="69" fillId="0" borderId="82" xfId="0" applyFont="1" applyBorder="1" applyAlignment="1" applyProtection="1">
      <alignment horizontal="center" vertical="center" wrapText="1"/>
      <protection hidden="1"/>
    </xf>
    <xf numFmtId="0" fontId="69" fillId="0" borderId="95" xfId="0" applyFont="1" applyBorder="1" applyAlignment="1" applyProtection="1">
      <alignment horizontal="center" vertical="center" wrapText="1"/>
      <protection hidden="1"/>
    </xf>
    <xf numFmtId="9" fontId="65" fillId="0" borderId="79" xfId="0" applyNumberFormat="1" applyFont="1" applyBorder="1" applyAlignment="1" applyProtection="1">
      <alignment horizontal="center" vertical="center" wrapText="1"/>
      <protection hidden="1"/>
    </xf>
    <xf numFmtId="9" fontId="65" fillId="0" borderId="57" xfId="0" applyNumberFormat="1" applyFont="1" applyBorder="1" applyAlignment="1" applyProtection="1">
      <alignment horizontal="center" vertical="center" wrapText="1"/>
      <protection hidden="1"/>
    </xf>
    <xf numFmtId="9" fontId="65" fillId="0" borderId="54" xfId="0" applyNumberFormat="1" applyFont="1" applyBorder="1" applyAlignment="1" applyProtection="1">
      <alignment horizontal="center" vertical="center" wrapText="1"/>
      <protection hidden="1"/>
    </xf>
    <xf numFmtId="0" fontId="69" fillId="0" borderId="91" xfId="0" applyFont="1" applyBorder="1" applyAlignment="1" applyProtection="1">
      <alignment horizontal="center" vertical="center"/>
      <protection hidden="1"/>
    </xf>
    <xf numFmtId="0" fontId="69" fillId="0" borderId="48" xfId="0" applyFont="1" applyBorder="1" applyAlignment="1" applyProtection="1">
      <alignment horizontal="center" vertical="center"/>
      <protection hidden="1"/>
    </xf>
    <xf numFmtId="9" fontId="65" fillId="0" borderId="83" xfId="0" applyNumberFormat="1" applyFont="1" applyBorder="1" applyAlignment="1" applyProtection="1">
      <alignment horizontal="center" vertical="center" wrapText="1"/>
      <protection hidden="1"/>
    </xf>
    <xf numFmtId="9" fontId="65" fillId="0" borderId="72" xfId="0" applyNumberFormat="1" applyFont="1" applyBorder="1" applyAlignment="1" applyProtection="1">
      <alignment horizontal="center" vertical="center" wrapText="1"/>
      <protection hidden="1"/>
    </xf>
    <xf numFmtId="9" fontId="65" fillId="0" borderId="84" xfId="0" applyNumberFormat="1" applyFont="1" applyBorder="1" applyAlignment="1" applyProtection="1">
      <alignment horizontal="center" vertical="center" wrapText="1"/>
      <protection hidden="1"/>
    </xf>
    <xf numFmtId="0" fontId="71" fillId="0" borderId="67" xfId="0" applyFont="1" applyBorder="1" applyAlignment="1">
      <alignment horizontal="center" vertical="center" wrapText="1"/>
    </xf>
    <xf numFmtId="0" fontId="71" fillId="0" borderId="14" xfId="0" applyFont="1" applyBorder="1" applyAlignment="1">
      <alignment horizontal="center" vertical="center" wrapText="1"/>
    </xf>
    <xf numFmtId="9" fontId="65" fillId="0" borderId="109" xfId="0" applyNumberFormat="1" applyFont="1" applyBorder="1" applyAlignment="1" applyProtection="1">
      <alignment horizontal="center" vertical="center" wrapText="1"/>
      <protection hidden="1"/>
    </xf>
    <xf numFmtId="9" fontId="65" fillId="0" borderId="111" xfId="0" applyNumberFormat="1" applyFont="1" applyBorder="1" applyAlignment="1" applyProtection="1">
      <alignment horizontal="center" vertical="center" wrapText="1"/>
      <protection hidden="1"/>
    </xf>
    <xf numFmtId="0" fontId="69" fillId="0" borderId="93" xfId="0" applyFont="1" applyBorder="1" applyAlignment="1" applyProtection="1">
      <alignment horizontal="center" vertical="center" textRotation="90" wrapText="1"/>
      <protection hidden="1"/>
    </xf>
    <xf numFmtId="0" fontId="69" fillId="0" borderId="84" xfId="0" applyFont="1" applyBorder="1" applyAlignment="1" applyProtection="1">
      <alignment horizontal="center" vertical="center" textRotation="90" wrapText="1"/>
      <protection hidden="1"/>
    </xf>
    <xf numFmtId="9" fontId="65" fillId="0" borderId="92" xfId="0" applyNumberFormat="1" applyFont="1" applyBorder="1" applyAlignment="1" applyProtection="1">
      <alignment horizontal="center" vertical="center" wrapText="1"/>
      <protection hidden="1"/>
    </xf>
    <xf numFmtId="0" fontId="82" fillId="0" borderId="67" xfId="0" applyFont="1" applyBorder="1" applyAlignment="1" applyProtection="1">
      <alignment horizontal="center" vertical="center" wrapText="1"/>
      <protection locked="0"/>
    </xf>
    <xf numFmtId="0" fontId="82" fillId="0" borderId="14" xfId="0" applyFont="1" applyBorder="1" applyAlignment="1" applyProtection="1">
      <alignment horizontal="center" vertical="center" wrapText="1"/>
      <protection locked="0"/>
    </xf>
    <xf numFmtId="9" fontId="65" fillId="0" borderId="80" xfId="0" applyNumberFormat="1" applyFont="1" applyBorder="1" applyAlignment="1" applyProtection="1">
      <alignment horizontal="center" vertical="center" wrapText="1"/>
      <protection hidden="1"/>
    </xf>
    <xf numFmtId="9" fontId="65" fillId="0" borderId="112" xfId="0" applyNumberFormat="1" applyFont="1" applyBorder="1" applyAlignment="1" applyProtection="1">
      <alignment horizontal="center" vertical="center" wrapText="1"/>
      <protection hidden="1"/>
    </xf>
    <xf numFmtId="9" fontId="65" fillId="0" borderId="73" xfId="0" applyNumberFormat="1" applyFont="1" applyBorder="1" applyAlignment="1" applyProtection="1">
      <alignment horizontal="center" vertical="center" wrapText="1"/>
      <protection hidden="1"/>
    </xf>
    <xf numFmtId="0" fontId="65" fillId="0" borderId="95" xfId="0" applyFont="1" applyBorder="1" applyAlignment="1">
      <alignment horizontal="center" vertical="center"/>
    </xf>
    <xf numFmtId="0" fontId="69" fillId="0" borderId="67" xfId="0" applyFont="1" applyBorder="1" applyAlignment="1" applyProtection="1">
      <alignment horizontal="center" vertical="center" textRotation="90"/>
      <protection hidden="1"/>
    </xf>
    <xf numFmtId="0" fontId="69" fillId="0" borderId="14" xfId="0" applyFont="1" applyBorder="1" applyAlignment="1" applyProtection="1">
      <alignment horizontal="center" vertical="center" textRotation="90"/>
      <protection hidden="1"/>
    </xf>
    <xf numFmtId="0" fontId="65" fillId="0" borderId="95" xfId="0" applyFont="1" applyBorder="1" applyAlignment="1" applyProtection="1">
      <alignment horizontal="center" vertical="center"/>
      <protection hidden="1"/>
    </xf>
    <xf numFmtId="9" fontId="65" fillId="0" borderId="91" xfId="0" applyNumberFormat="1" applyFont="1" applyBorder="1" applyAlignment="1" applyProtection="1">
      <alignment horizontal="center" vertical="center" wrapText="1"/>
      <protection hidden="1"/>
    </xf>
    <xf numFmtId="9" fontId="65" fillId="0" borderId="0" xfId="0" applyNumberFormat="1" applyFont="1" applyBorder="1" applyAlignment="1" applyProtection="1">
      <alignment horizontal="center" vertical="center" wrapText="1"/>
      <protection hidden="1"/>
    </xf>
    <xf numFmtId="9" fontId="65" fillId="0" borderId="48" xfId="0" applyNumberFormat="1" applyFont="1" applyBorder="1" applyAlignment="1" applyProtection="1">
      <alignment horizontal="center" vertical="center" wrapText="1"/>
      <protection hidden="1"/>
    </xf>
    <xf numFmtId="0" fontId="69" fillId="0" borderId="55" xfId="0" applyFont="1" applyBorder="1" applyAlignment="1" applyProtection="1">
      <alignment horizontal="center" vertical="center" wrapText="1"/>
      <protection hidden="1"/>
    </xf>
    <xf numFmtId="0" fontId="65" fillId="0" borderId="88" xfId="0" applyFont="1" applyBorder="1" applyAlignment="1" applyProtection="1">
      <alignment horizontal="center" vertical="center"/>
      <protection locked="0"/>
    </xf>
    <xf numFmtId="0" fontId="65" fillId="0" borderId="55" xfId="0" applyFont="1" applyBorder="1" applyAlignment="1" applyProtection="1">
      <alignment horizontal="center" vertical="center"/>
      <protection locked="0"/>
    </xf>
    <xf numFmtId="0" fontId="65" fillId="0" borderId="56" xfId="0" applyFont="1" applyBorder="1" applyAlignment="1" applyProtection="1">
      <alignment horizontal="center" vertical="center"/>
      <protection locked="0"/>
    </xf>
    <xf numFmtId="0" fontId="65" fillId="0" borderId="82" xfId="0" applyFont="1" applyBorder="1" applyAlignment="1" applyProtection="1">
      <alignment horizontal="center" vertical="center"/>
      <protection locked="0"/>
    </xf>
    <xf numFmtId="0" fontId="65" fillId="0" borderId="95" xfId="0" applyFont="1" applyBorder="1" applyAlignment="1" applyProtection="1">
      <alignment horizontal="center" vertical="center"/>
      <protection locked="0"/>
    </xf>
    <xf numFmtId="0" fontId="65" fillId="0" borderId="13" xfId="0" applyFont="1" applyBorder="1" applyAlignment="1" applyProtection="1">
      <alignment horizontal="center" vertical="center" wrapText="1"/>
      <protection locked="0"/>
    </xf>
    <xf numFmtId="0" fontId="69" fillId="0" borderId="107" xfId="0" applyFont="1" applyBorder="1" applyAlignment="1" applyProtection="1">
      <alignment horizontal="center" vertical="center" wrapText="1"/>
      <protection hidden="1"/>
    </xf>
    <xf numFmtId="0" fontId="69" fillId="0" borderId="83" xfId="0" applyFont="1" applyBorder="1" applyAlignment="1" applyProtection="1">
      <alignment horizontal="center" vertical="center" wrapText="1"/>
      <protection hidden="1"/>
    </xf>
    <xf numFmtId="0" fontId="69" fillId="0" borderId="96" xfId="0" applyFont="1" applyBorder="1" applyAlignment="1" applyProtection="1">
      <alignment horizontal="center" vertical="center"/>
      <protection hidden="1"/>
    </xf>
    <xf numFmtId="0" fontId="69" fillId="0" borderId="72" xfId="0" applyFont="1" applyBorder="1" applyAlignment="1" applyProtection="1">
      <alignment horizontal="center" vertical="center"/>
      <protection hidden="1"/>
    </xf>
    <xf numFmtId="9" fontId="65" fillId="0" borderId="82" xfId="0" applyNumberFormat="1" applyFont="1" applyBorder="1" applyAlignment="1" applyProtection="1">
      <alignment horizontal="center" vertical="center" wrapText="1"/>
      <protection hidden="1"/>
    </xf>
    <xf numFmtId="9" fontId="65" fillId="0" borderId="95" xfId="0" applyNumberFormat="1" applyFont="1" applyBorder="1" applyAlignment="1" applyProtection="1">
      <alignment horizontal="center" vertical="center" wrapText="1"/>
      <protection hidden="1"/>
    </xf>
    <xf numFmtId="0" fontId="69" fillId="0" borderId="64" xfId="0" applyFont="1" applyBorder="1" applyAlignment="1">
      <alignment horizontal="center" vertical="center" wrapText="1"/>
    </xf>
    <xf numFmtId="0" fontId="69" fillId="0" borderId="54" xfId="0" applyFont="1" applyBorder="1" applyAlignment="1">
      <alignment horizontal="center" vertical="center" wrapText="1"/>
    </xf>
    <xf numFmtId="0" fontId="65" fillId="0" borderId="82" xfId="0" applyFont="1" applyBorder="1" applyAlignment="1">
      <alignment horizontal="center" vertical="center" wrapText="1"/>
    </xf>
    <xf numFmtId="0" fontId="65" fillId="2" borderId="74" xfId="0" applyFont="1" applyFill="1" applyBorder="1" applyAlignment="1">
      <alignment horizontal="center" vertical="center" wrapText="1"/>
    </xf>
    <xf numFmtId="0" fontId="71" fillId="0" borderId="74" xfId="0" applyFont="1" applyBorder="1" applyAlignment="1">
      <alignment horizontal="center" vertical="center" wrapText="1"/>
    </xf>
    <xf numFmtId="0" fontId="69" fillId="0" borderId="67" xfId="0" applyFont="1" applyBorder="1" applyAlignment="1">
      <alignment horizontal="center" vertical="center" wrapText="1"/>
    </xf>
    <xf numFmtId="0" fontId="69" fillId="0" borderId="74" xfId="0" applyFont="1" applyBorder="1" applyAlignment="1">
      <alignment horizontal="center" vertical="center" wrapText="1"/>
    </xf>
    <xf numFmtId="0" fontId="69" fillId="0" borderId="14" xfId="0" applyFont="1" applyBorder="1" applyAlignment="1">
      <alignment horizontal="center" vertical="center" wrapText="1"/>
    </xf>
    <xf numFmtId="0" fontId="65" fillId="0" borderId="107" xfId="0" applyFont="1" applyBorder="1" applyAlignment="1">
      <alignment horizontal="center" vertical="center" wrapText="1"/>
    </xf>
    <xf numFmtId="0" fontId="65" fillId="0" borderId="80" xfId="0" applyFont="1" applyBorder="1" applyAlignment="1">
      <alignment horizontal="center" vertical="center" wrapText="1"/>
    </xf>
    <xf numFmtId="0" fontId="65" fillId="0" borderId="83" xfId="0" applyFont="1" applyBorder="1" applyAlignment="1">
      <alignment horizontal="center" vertical="center" wrapText="1"/>
    </xf>
    <xf numFmtId="0" fontId="65" fillId="0" borderId="78" xfId="0" applyFont="1" applyBorder="1" applyAlignment="1" applyProtection="1">
      <alignment horizontal="center" vertical="center" wrapText="1"/>
      <protection locked="0"/>
    </xf>
    <xf numFmtId="0" fontId="65" fillId="0" borderId="84" xfId="0" applyFont="1" applyBorder="1" applyAlignment="1" applyProtection="1">
      <alignment horizontal="center" vertical="center" wrapText="1"/>
      <protection locked="0"/>
    </xf>
    <xf numFmtId="0" fontId="65" fillId="0" borderId="64" xfId="0" applyFont="1" applyBorder="1" applyAlignment="1" applyProtection="1">
      <alignment horizontal="center" vertical="center"/>
      <protection locked="0"/>
    </xf>
    <xf numFmtId="0" fontId="65" fillId="0" borderId="106" xfId="0" applyFont="1" applyBorder="1" applyAlignment="1" applyProtection="1">
      <alignment horizontal="center" vertical="center"/>
      <protection locked="0"/>
    </xf>
    <xf numFmtId="49" fontId="65" fillId="0" borderId="67" xfId="0" applyNumberFormat="1" applyFont="1" applyBorder="1" applyAlignment="1">
      <alignment horizontal="center" vertical="center" wrapText="1"/>
    </xf>
    <xf numFmtId="49" fontId="65" fillId="0" borderId="14" xfId="0" applyNumberFormat="1" applyFont="1" applyBorder="1" applyAlignment="1">
      <alignment horizontal="center" vertical="center" wrapText="1"/>
    </xf>
    <xf numFmtId="0" fontId="65" fillId="0" borderId="107" xfId="0" applyFont="1" applyBorder="1" applyAlignment="1">
      <alignment horizontal="center" vertical="center"/>
    </xf>
    <xf numFmtId="0" fontId="65" fillId="0" borderId="83" xfId="0" applyFont="1" applyBorder="1" applyAlignment="1">
      <alignment horizontal="center" vertical="center"/>
    </xf>
    <xf numFmtId="49" fontId="42" fillId="2" borderId="67" xfId="0" applyNumberFormat="1" applyFont="1" applyFill="1" applyBorder="1" applyAlignment="1">
      <alignment horizontal="center" vertical="center" wrapText="1"/>
    </xf>
    <xf numFmtId="49" fontId="42" fillId="2" borderId="14" xfId="0" applyNumberFormat="1" applyFont="1" applyFill="1" applyBorder="1" applyAlignment="1">
      <alignment horizontal="center" vertical="center" wrapText="1"/>
    </xf>
    <xf numFmtId="0" fontId="65" fillId="0" borderId="92" xfId="0" applyFont="1" applyBorder="1" applyAlignment="1" applyProtection="1">
      <alignment horizontal="center" vertical="center" wrapText="1"/>
      <protection locked="0"/>
    </xf>
    <xf numFmtId="0" fontId="65" fillId="0" borderId="95" xfId="0" applyFont="1" applyBorder="1" applyAlignment="1">
      <alignment horizontal="center" vertical="center" wrapText="1"/>
    </xf>
    <xf numFmtId="0" fontId="69" fillId="0" borderId="57" xfId="0" applyFont="1" applyBorder="1" applyAlignment="1">
      <alignment horizontal="center" vertical="center" wrapText="1"/>
    </xf>
    <xf numFmtId="0" fontId="42" fillId="2" borderId="67" xfId="0" applyFont="1" applyFill="1" applyBorder="1" applyAlignment="1" applyProtection="1">
      <alignment horizontal="center" vertical="center"/>
      <protection locked="0"/>
    </xf>
    <xf numFmtId="0" fontId="42" fillId="2" borderId="74" xfId="0" applyFont="1" applyFill="1" applyBorder="1" applyAlignment="1" applyProtection="1">
      <alignment horizontal="center" vertical="center"/>
      <protection locked="0"/>
    </xf>
    <xf numFmtId="0" fontId="42" fillId="2" borderId="14" xfId="0" applyFont="1" applyFill="1" applyBorder="1" applyAlignment="1" applyProtection="1">
      <alignment horizontal="center" vertical="center"/>
      <protection locked="0"/>
    </xf>
    <xf numFmtId="0" fontId="65" fillId="0" borderId="78" xfId="0" applyFont="1" applyBorder="1" applyAlignment="1" applyProtection="1">
      <alignment horizontal="center" vertical="center"/>
      <protection locked="0"/>
    </xf>
    <xf numFmtId="0" fontId="65" fillId="0" borderId="108" xfId="0" applyFont="1" applyBorder="1" applyAlignment="1" applyProtection="1">
      <alignment horizontal="center" vertical="center"/>
      <protection locked="0"/>
    </xf>
    <xf numFmtId="0" fontId="65" fillId="2" borderId="82" xfId="0" applyFont="1" applyFill="1" applyBorder="1" applyAlignment="1">
      <alignment horizontal="center" vertical="center" wrapText="1"/>
    </xf>
    <xf numFmtId="0" fontId="65" fillId="0" borderId="108" xfId="0" applyFont="1" applyBorder="1" applyAlignment="1" applyProtection="1">
      <alignment horizontal="center" vertical="center" wrapText="1"/>
      <protection locked="0"/>
    </xf>
    <xf numFmtId="0" fontId="71" fillId="2" borderId="67" xfId="0" applyFont="1" applyFill="1" applyBorder="1" applyAlignment="1">
      <alignment horizontal="center" vertical="center" wrapText="1"/>
    </xf>
    <xf numFmtId="0" fontId="71" fillId="2" borderId="74" xfId="0" applyFont="1" applyFill="1" applyBorder="1" applyAlignment="1">
      <alignment horizontal="center" vertical="center" wrapText="1"/>
    </xf>
    <xf numFmtId="0" fontId="71" fillId="2" borderId="14" xfId="0" applyFont="1" applyFill="1" applyBorder="1" applyAlignment="1">
      <alignment horizontal="center" vertical="center" wrapText="1"/>
    </xf>
    <xf numFmtId="0" fontId="42" fillId="0" borderId="67" xfId="0" applyFont="1" applyBorder="1" applyAlignment="1">
      <alignment horizontal="center" vertical="center"/>
    </xf>
    <xf numFmtId="0" fontId="42" fillId="0" borderId="74" xfId="0" applyFont="1" applyBorder="1" applyAlignment="1">
      <alignment horizontal="center" vertical="center"/>
    </xf>
    <xf numFmtId="0" fontId="42" fillId="0" borderId="14" xfId="0" applyFont="1" applyBorder="1" applyAlignment="1">
      <alignment horizontal="center" vertical="center"/>
    </xf>
    <xf numFmtId="0" fontId="66" fillId="19" borderId="54" xfId="0" applyFont="1" applyFill="1" applyBorder="1" applyAlignment="1">
      <alignment horizontal="center"/>
    </xf>
    <xf numFmtId="0" fontId="66" fillId="19" borderId="48" xfId="0" applyFont="1" applyFill="1" applyBorder="1" applyAlignment="1">
      <alignment horizontal="center"/>
    </xf>
    <xf numFmtId="0" fontId="66" fillId="19" borderId="56" xfId="0" applyFont="1" applyFill="1" applyBorder="1" applyAlignment="1">
      <alignment horizontal="center"/>
    </xf>
    <xf numFmtId="0" fontId="68" fillId="15" borderId="66" xfId="0" applyFont="1" applyFill="1" applyBorder="1" applyAlignment="1">
      <alignment horizontal="center" vertical="center" wrapText="1"/>
    </xf>
    <xf numFmtId="0" fontId="63" fillId="2" borderId="67" xfId="0" applyFont="1" applyFill="1" applyBorder="1" applyAlignment="1">
      <alignment horizontal="center" vertical="center"/>
    </xf>
    <xf numFmtId="0" fontId="63" fillId="2" borderId="74" xfId="0" applyFont="1" applyFill="1" applyBorder="1" applyAlignment="1">
      <alignment horizontal="center" vertical="center"/>
    </xf>
    <xf numFmtId="0" fontId="63" fillId="2" borderId="14" xfId="0" applyFont="1" applyFill="1" applyBorder="1" applyAlignment="1">
      <alignment horizontal="center" vertical="center"/>
    </xf>
    <xf numFmtId="0" fontId="67" fillId="2" borderId="67" xfId="0" applyFont="1" applyFill="1" applyBorder="1" applyAlignment="1">
      <alignment horizontal="center" vertical="center" textRotation="90" wrapText="1"/>
    </xf>
    <xf numFmtId="0" fontId="67" fillId="2" borderId="74" xfId="0" applyFont="1" applyFill="1" applyBorder="1" applyAlignment="1">
      <alignment horizontal="center" vertical="center" textRotation="90" wrapText="1"/>
    </xf>
    <xf numFmtId="0" fontId="67" fillId="2" borderId="14" xfId="0" applyFont="1" applyFill="1" applyBorder="1" applyAlignment="1">
      <alignment horizontal="center" vertical="center" textRotation="90" wrapText="1"/>
    </xf>
    <xf numFmtId="0" fontId="73" fillId="0" borderId="67" xfId="0" applyFont="1" applyBorder="1" applyAlignment="1" applyProtection="1">
      <alignment horizontal="center" vertical="center" wrapText="1"/>
      <protection locked="0"/>
    </xf>
    <xf numFmtId="0" fontId="73" fillId="0" borderId="74" xfId="0" applyFont="1" applyBorder="1" applyAlignment="1" applyProtection="1">
      <alignment horizontal="center" vertical="center" wrapText="1"/>
      <protection locked="0"/>
    </xf>
    <xf numFmtId="0" fontId="73" fillId="0" borderId="14" xfId="0" applyFont="1" applyBorder="1" applyAlignment="1" applyProtection="1">
      <alignment horizontal="center" vertical="center" wrapText="1"/>
      <protection locked="0"/>
    </xf>
    <xf numFmtId="0" fontId="73" fillId="2" borderId="67" xfId="0" applyFont="1" applyFill="1" applyBorder="1" applyAlignment="1">
      <alignment horizontal="center" vertical="center" wrapText="1"/>
    </xf>
    <xf numFmtId="0" fontId="73" fillId="2" borderId="74" xfId="0" applyFont="1" applyFill="1" applyBorder="1" applyAlignment="1">
      <alignment horizontal="center" vertical="center" wrapText="1"/>
    </xf>
    <xf numFmtId="0" fontId="73" fillId="2" borderId="14" xfId="0" applyFont="1" applyFill="1" applyBorder="1" applyAlignment="1">
      <alignment horizontal="center" vertical="center" wrapText="1"/>
    </xf>
    <xf numFmtId="0" fontId="68" fillId="15" borderId="89" xfId="0" applyFont="1" applyFill="1" applyBorder="1" applyAlignment="1">
      <alignment horizontal="center" vertical="center" textRotation="90"/>
    </xf>
    <xf numFmtId="0" fontId="66" fillId="2" borderId="67" xfId="0" applyFont="1" applyFill="1" applyBorder="1" applyAlignment="1">
      <alignment horizontal="center" vertical="center"/>
    </xf>
    <xf numFmtId="0" fontId="66" fillId="2" borderId="74" xfId="0" applyFont="1" applyFill="1" applyBorder="1" applyAlignment="1">
      <alignment horizontal="center" vertical="center"/>
    </xf>
    <xf numFmtId="0" fontId="63" fillId="2" borderId="65" xfId="0" applyFont="1" applyFill="1" applyBorder="1" applyAlignment="1">
      <alignment horizontal="center" vertical="center"/>
    </xf>
    <xf numFmtId="0" fontId="63" fillId="2" borderId="55" xfId="0" applyFont="1" applyFill="1" applyBorder="1" applyAlignment="1">
      <alignment horizontal="center" vertical="center"/>
    </xf>
    <xf numFmtId="0" fontId="63" fillId="2" borderId="56" xfId="0" applyFont="1" applyFill="1" applyBorder="1" applyAlignment="1">
      <alignment horizontal="center" vertical="center"/>
    </xf>
    <xf numFmtId="0" fontId="73" fillId="2" borderId="95" xfId="0" applyFont="1" applyFill="1" applyBorder="1" applyAlignment="1" applyProtection="1">
      <alignment horizontal="center" vertical="center" wrapText="1"/>
      <protection locked="0"/>
    </xf>
    <xf numFmtId="0" fontId="73" fillId="2" borderId="82" xfId="0" applyFont="1" applyFill="1" applyBorder="1" applyAlignment="1" applyProtection="1">
      <alignment horizontal="center" vertical="center" wrapText="1"/>
      <protection locked="0"/>
    </xf>
    <xf numFmtId="0" fontId="73" fillId="0" borderId="95" xfId="0" applyFont="1" applyBorder="1" applyAlignment="1">
      <alignment horizontal="center" vertical="center" wrapText="1"/>
    </xf>
    <xf numFmtId="0" fontId="65" fillId="2" borderId="67" xfId="5" applyFont="1" applyFill="1" applyBorder="1" applyAlignment="1">
      <alignment horizontal="center" vertical="center" wrapText="1"/>
    </xf>
    <xf numFmtId="0" fontId="65" fillId="2" borderId="74" xfId="5" applyFont="1" applyFill="1" applyBorder="1" applyAlignment="1">
      <alignment horizontal="center" vertical="center" wrapText="1"/>
    </xf>
    <xf numFmtId="0" fontId="65" fillId="2" borderId="95" xfId="5" applyFont="1" applyFill="1" applyBorder="1" applyAlignment="1">
      <alignment horizontal="center" vertical="center" wrapText="1"/>
    </xf>
    <xf numFmtId="0" fontId="65" fillId="0" borderId="79" xfId="0" applyFont="1" applyBorder="1" applyAlignment="1" applyProtection="1">
      <alignment horizontal="center" vertical="center" wrapText="1"/>
      <protection locked="0"/>
    </xf>
    <xf numFmtId="0" fontId="65" fillId="0" borderId="83" xfId="0" applyFont="1" applyBorder="1" applyAlignment="1" applyProtection="1">
      <alignment horizontal="center" vertical="center" wrapText="1"/>
      <protection locked="0"/>
    </xf>
    <xf numFmtId="0" fontId="67" fillId="0" borderId="67" xfId="0" applyFont="1" applyBorder="1" applyAlignment="1">
      <alignment horizontal="center" vertical="center" textRotation="90"/>
    </xf>
    <xf numFmtId="0" fontId="67" fillId="0" borderId="74" xfId="0" applyFont="1" applyBorder="1" applyAlignment="1">
      <alignment horizontal="center" vertical="center" textRotation="90"/>
    </xf>
    <xf numFmtId="0" fontId="63" fillId="0" borderId="65" xfId="0" applyFont="1" applyBorder="1" applyAlignment="1">
      <alignment horizontal="center" vertical="center"/>
    </xf>
    <xf numFmtId="0" fontId="63" fillId="0" borderId="55" xfId="0" applyFont="1" applyBorder="1" applyAlignment="1">
      <alignment horizontal="center" vertical="center"/>
    </xf>
    <xf numFmtId="0" fontId="63" fillId="0" borderId="56" xfId="0" applyFont="1" applyBorder="1" applyAlignment="1">
      <alignment horizontal="center" vertical="center"/>
    </xf>
    <xf numFmtId="0" fontId="67" fillId="0" borderId="67" xfId="0" applyFont="1" applyBorder="1" applyAlignment="1">
      <alignment horizontal="center" vertical="center" textRotation="90" wrapText="1"/>
    </xf>
    <xf numFmtId="0" fontId="67" fillId="0" borderId="74" xfId="0" applyFont="1" applyBorder="1" applyAlignment="1">
      <alignment horizontal="center" vertical="center" textRotation="90" wrapText="1"/>
    </xf>
    <xf numFmtId="0" fontId="67" fillId="0" borderId="14" xfId="0" applyFont="1" applyBorder="1" applyAlignment="1">
      <alignment horizontal="center" vertical="center" textRotation="90" wrapText="1"/>
    </xf>
    <xf numFmtId="0" fontId="67" fillId="0" borderId="13" xfId="0" applyFont="1" applyBorder="1" applyAlignment="1">
      <alignment horizontal="center" vertical="center" textRotation="90" wrapText="1"/>
    </xf>
    <xf numFmtId="0" fontId="42" fillId="2" borderId="67" xfId="0" applyFont="1" applyFill="1" applyBorder="1" applyAlignment="1">
      <alignment horizontal="center" vertical="center" wrapText="1"/>
    </xf>
    <xf numFmtId="0" fontId="65" fillId="2" borderId="67" xfId="0" applyFont="1" applyFill="1" applyBorder="1" applyAlignment="1" applyProtection="1">
      <alignment horizontal="center" vertical="center"/>
      <protection locked="0"/>
    </xf>
    <xf numFmtId="0" fontId="66" fillId="15" borderId="78" xfId="0" applyFont="1" applyFill="1" applyBorder="1" applyAlignment="1">
      <alignment horizontal="center" vertical="center" textRotation="90" wrapText="1"/>
    </xf>
    <xf numFmtId="0" fontId="66" fillId="15" borderId="92" xfId="0" applyFont="1" applyFill="1" applyBorder="1" applyAlignment="1">
      <alignment horizontal="center" vertical="center" textRotation="90" wrapText="1"/>
    </xf>
    <xf numFmtId="0" fontId="66" fillId="15" borderId="63" xfId="0" applyFont="1" applyFill="1" applyBorder="1" applyAlignment="1">
      <alignment horizontal="center" vertical="center" wrapText="1"/>
    </xf>
    <xf numFmtId="0" fontId="66" fillId="15" borderId="66" xfId="0" applyFont="1" applyFill="1" applyBorder="1" applyAlignment="1">
      <alignment horizontal="center" vertical="center" wrapText="1"/>
    </xf>
    <xf numFmtId="0" fontId="66" fillId="18" borderId="63" xfId="0" applyFont="1" applyFill="1" applyBorder="1" applyAlignment="1">
      <alignment horizontal="center" vertical="center" wrapText="1"/>
    </xf>
    <xf numFmtId="0" fontId="66" fillId="18" borderId="94" xfId="0" applyFont="1" applyFill="1" applyBorder="1" applyAlignment="1">
      <alignment horizontal="center" vertical="center" wrapText="1"/>
    </xf>
    <xf numFmtId="0" fontId="66" fillId="15" borderId="94" xfId="0" applyFont="1" applyFill="1" applyBorder="1" applyAlignment="1">
      <alignment horizontal="center" vertical="center" wrapText="1"/>
    </xf>
    <xf numFmtId="0" fontId="79" fillId="18" borderId="70" xfId="0" applyFont="1" applyFill="1" applyBorder="1" applyAlignment="1">
      <alignment horizontal="center" vertical="center"/>
    </xf>
    <xf numFmtId="0" fontId="79" fillId="18" borderId="71" xfId="0" applyFont="1" applyFill="1" applyBorder="1" applyAlignment="1">
      <alignment horizontal="center" vertical="center"/>
    </xf>
    <xf numFmtId="0" fontId="79" fillId="18" borderId="69" xfId="0" applyFont="1" applyFill="1" applyBorder="1" applyAlignment="1">
      <alignment horizontal="center" vertical="center"/>
    </xf>
    <xf numFmtId="0" fontId="64" fillId="0" borderId="64" xfId="4" applyFont="1" applyBorder="1" applyAlignment="1">
      <alignment horizontal="center" vertical="center" wrapText="1"/>
    </xf>
    <xf numFmtId="0" fontId="64" fillId="0" borderId="31" xfId="4" applyFont="1" applyBorder="1" applyAlignment="1">
      <alignment horizontal="center" vertical="center" wrapText="1"/>
    </xf>
    <xf numFmtId="0" fontId="64" fillId="0" borderId="65" xfId="4" applyFont="1" applyBorder="1" applyAlignment="1">
      <alignment horizontal="center" vertical="center" wrapText="1"/>
    </xf>
    <xf numFmtId="0" fontId="64" fillId="0" borderId="57" xfId="4" applyFont="1" applyBorder="1" applyAlignment="1">
      <alignment horizontal="center" vertical="center" wrapText="1"/>
    </xf>
    <xf numFmtId="0" fontId="64" fillId="0" borderId="0" xfId="4" applyFont="1" applyBorder="1" applyAlignment="1">
      <alignment horizontal="center" vertical="center" wrapText="1"/>
    </xf>
    <xf numFmtId="0" fontId="64" fillId="0" borderId="55" xfId="4" applyFont="1" applyBorder="1" applyAlignment="1">
      <alignment horizontal="center" vertical="center" wrapText="1"/>
    </xf>
    <xf numFmtId="0" fontId="66" fillId="19" borderId="0" xfId="0" applyFont="1" applyFill="1" applyBorder="1" applyAlignment="1">
      <alignment horizontal="center" vertical="center"/>
    </xf>
    <xf numFmtId="0" fontId="66" fillId="19" borderId="55" xfId="0" applyFont="1" applyFill="1" applyBorder="1" applyAlignment="1">
      <alignment horizontal="center" vertical="center"/>
    </xf>
    <xf numFmtId="0" fontId="67" fillId="2" borderId="67" xfId="0" applyFont="1" applyFill="1" applyBorder="1" applyAlignment="1">
      <alignment horizontal="center" vertical="center" wrapText="1"/>
    </xf>
    <xf numFmtId="0" fontId="67" fillId="2" borderId="74" xfId="0" applyFont="1" applyFill="1" applyBorder="1" applyAlignment="1">
      <alignment horizontal="center" vertical="center" wrapText="1"/>
    </xf>
    <xf numFmtId="0" fontId="67" fillId="2" borderId="14" xfId="0" applyFont="1" applyFill="1" applyBorder="1" applyAlignment="1">
      <alignment horizontal="center" vertical="center" wrapText="1"/>
    </xf>
    <xf numFmtId="0" fontId="66" fillId="15" borderId="70" xfId="0" applyFont="1" applyFill="1" applyBorder="1" applyAlignment="1">
      <alignment horizontal="center" vertical="center" wrapText="1"/>
    </xf>
    <xf numFmtId="0" fontId="66" fillId="15" borderId="71" xfId="0" applyFont="1" applyFill="1" applyBorder="1" applyAlignment="1">
      <alignment horizontal="center" vertical="center" wrapText="1"/>
    </xf>
    <xf numFmtId="0" fontId="66" fillId="19" borderId="106" xfId="0" applyFont="1" applyFill="1" applyBorder="1" applyAlignment="1">
      <alignment horizontal="center" vertical="center"/>
    </xf>
    <xf numFmtId="0" fontId="66" fillId="19" borderId="59" xfId="0" applyFont="1" applyFill="1" applyBorder="1" applyAlignment="1">
      <alignment horizontal="center" vertical="center"/>
    </xf>
    <xf numFmtId="0" fontId="66" fillId="15" borderId="63" xfId="0" applyFont="1" applyFill="1" applyBorder="1" applyAlignment="1">
      <alignment horizontal="center" vertical="center"/>
    </xf>
    <xf numFmtId="0" fontId="66" fillId="15" borderId="94" xfId="0" applyFont="1" applyFill="1" applyBorder="1" applyAlignment="1">
      <alignment horizontal="center" vertical="center"/>
    </xf>
    <xf numFmtId="0" fontId="66" fillId="15" borderId="66" xfId="0" applyFont="1" applyFill="1" applyBorder="1" applyAlignment="1">
      <alignment horizontal="center" vertical="center"/>
    </xf>
    <xf numFmtId="0" fontId="66" fillId="15" borderId="63" xfId="0" applyFont="1" applyFill="1" applyBorder="1" applyAlignment="1">
      <alignment horizontal="center" vertical="center" textRotation="90" wrapText="1"/>
    </xf>
    <xf numFmtId="0" fontId="66" fillId="15" borderId="66" xfId="0" applyFont="1" applyFill="1" applyBorder="1" applyAlignment="1">
      <alignment horizontal="center" vertical="center" textRotation="90" wrapText="1"/>
    </xf>
    <xf numFmtId="0" fontId="66" fillId="15" borderId="79" xfId="0" applyFont="1" applyFill="1" applyBorder="1" applyAlignment="1">
      <alignment horizontal="center" vertical="center" textRotation="90" wrapText="1"/>
    </xf>
    <xf numFmtId="0" fontId="66" fillId="15" borderId="105" xfId="0" applyFont="1" applyFill="1" applyBorder="1" applyAlignment="1">
      <alignment horizontal="center" vertical="center" textRotation="90" wrapText="1"/>
    </xf>
    <xf numFmtId="0" fontId="66" fillId="15" borderId="72" xfId="0" applyFont="1" applyFill="1" applyBorder="1" applyAlignment="1">
      <alignment horizontal="center" vertical="center" wrapText="1"/>
    </xf>
    <xf numFmtId="0" fontId="66" fillId="15" borderId="110" xfId="0" applyFont="1" applyFill="1" applyBorder="1" applyAlignment="1">
      <alignment horizontal="center" vertical="center" wrapText="1"/>
    </xf>
    <xf numFmtId="9" fontId="65" fillId="0" borderId="66" xfId="0" applyNumberFormat="1" applyFont="1" applyBorder="1" applyAlignment="1" applyProtection="1">
      <alignment horizontal="center" vertical="center" wrapText="1"/>
      <protection hidden="1"/>
    </xf>
    <xf numFmtId="0" fontId="69" fillId="0" borderId="93" xfId="0" applyFont="1" applyBorder="1" applyAlignment="1" applyProtection="1">
      <alignment horizontal="center" vertical="center" wrapText="1"/>
      <protection hidden="1"/>
    </xf>
    <xf numFmtId="0" fontId="69" fillId="0" borderId="92" xfId="0" applyFont="1" applyBorder="1" applyAlignment="1" applyProtection="1">
      <alignment horizontal="center" vertical="center" wrapText="1"/>
      <protection hidden="1"/>
    </xf>
    <xf numFmtId="164" fontId="65" fillId="0" borderId="107" xfId="1" applyNumberFormat="1" applyFont="1" applyBorder="1" applyAlignment="1">
      <alignment horizontal="center" vertical="center"/>
    </xf>
    <xf numFmtId="164" fontId="65" fillId="0" borderId="83" xfId="1" applyNumberFormat="1" applyFont="1" applyBorder="1" applyAlignment="1">
      <alignment horizontal="center" vertical="center"/>
    </xf>
    <xf numFmtId="0" fontId="69" fillId="0" borderId="108" xfId="0" applyFont="1" applyBorder="1" applyAlignment="1" applyProtection="1">
      <alignment horizontal="center" vertical="center" textRotation="90" wrapText="1"/>
      <protection hidden="1"/>
    </xf>
    <xf numFmtId="0" fontId="65" fillId="0" borderId="63" xfId="0" applyFont="1" applyBorder="1" applyAlignment="1" applyProtection="1">
      <alignment horizontal="center" vertical="center"/>
      <protection locked="0"/>
    </xf>
    <xf numFmtId="0" fontId="65" fillId="0" borderId="72" xfId="0" applyFont="1" applyBorder="1" applyAlignment="1" applyProtection="1">
      <alignment horizontal="center" vertical="center"/>
      <protection locked="0"/>
    </xf>
    <xf numFmtId="0" fontId="65" fillId="0" borderId="82" xfId="0" applyFont="1" applyBorder="1" applyAlignment="1">
      <alignment horizontal="center" vertical="center"/>
    </xf>
    <xf numFmtId="0" fontId="69" fillId="0" borderId="63" xfId="0" applyFont="1" applyBorder="1" applyAlignment="1" applyProtection="1">
      <alignment horizontal="center" vertical="center"/>
      <protection hidden="1"/>
    </xf>
    <xf numFmtId="0" fontId="69" fillId="0" borderId="66" xfId="0" applyFont="1" applyBorder="1" applyAlignment="1" applyProtection="1">
      <alignment horizontal="center" vertical="center"/>
      <protection hidden="1"/>
    </xf>
    <xf numFmtId="0" fontId="65" fillId="0" borderId="78" xfId="0" applyFont="1" applyBorder="1" applyAlignment="1">
      <alignment horizontal="center" vertical="center"/>
    </xf>
    <xf numFmtId="0" fontId="65" fillId="0" borderId="108" xfId="0" applyFont="1" applyBorder="1" applyAlignment="1">
      <alignment horizontal="center" vertical="center"/>
    </xf>
    <xf numFmtId="164" fontId="65" fillId="0" borderId="79" xfId="1" applyNumberFormat="1" applyFont="1" applyFill="1" applyBorder="1" applyAlignment="1">
      <alignment horizontal="center" vertical="center"/>
    </xf>
    <xf numFmtId="164" fontId="65" fillId="0" borderId="105" xfId="1" applyNumberFormat="1" applyFont="1" applyFill="1" applyBorder="1" applyAlignment="1">
      <alignment horizontal="center" vertical="center"/>
    </xf>
    <xf numFmtId="0" fontId="78" fillId="0" borderId="64" xfId="0" applyFont="1" applyBorder="1" applyAlignment="1">
      <alignment horizontal="center" vertical="center" textRotation="90"/>
    </xf>
    <xf numFmtId="0" fontId="78" fillId="0" borderId="57" xfId="0" applyFont="1" applyBorder="1" applyAlignment="1">
      <alignment horizontal="center" vertical="center" textRotation="90"/>
    </xf>
    <xf numFmtId="0" fontId="78" fillId="0" borderId="54" xfId="0" applyFont="1" applyBorder="1" applyAlignment="1">
      <alignment horizontal="center" vertical="center" textRotation="90"/>
    </xf>
    <xf numFmtId="49" fontId="42" fillId="0" borderId="67" xfId="0" applyNumberFormat="1" applyFont="1" applyBorder="1" applyAlignment="1">
      <alignment horizontal="center" vertical="center" wrapText="1"/>
    </xf>
    <xf numFmtId="49" fontId="42" fillId="0" borderId="14" xfId="0" applyNumberFormat="1" applyFont="1" applyBorder="1" applyAlignment="1">
      <alignment horizontal="center" vertical="center" wrapText="1"/>
    </xf>
    <xf numFmtId="0" fontId="69" fillId="2" borderId="67" xfId="0" applyFont="1" applyFill="1" applyBorder="1" applyAlignment="1">
      <alignment horizontal="center" vertical="center" wrapText="1"/>
    </xf>
    <xf numFmtId="0" fontId="69" fillId="2" borderId="14" xfId="0" applyFont="1" applyFill="1" applyBorder="1" applyAlignment="1">
      <alignment horizontal="center" vertical="center" wrapText="1"/>
    </xf>
    <xf numFmtId="0" fontId="18" fillId="11" borderId="8" xfId="0" applyFont="1" applyFill="1" applyBorder="1" applyAlignment="1">
      <alignment horizontal="center" vertical="center" wrapText="1" readingOrder="1"/>
    </xf>
    <xf numFmtId="0" fontId="18" fillId="11" borderId="9" xfId="0" applyFont="1" applyFill="1" applyBorder="1" applyAlignment="1">
      <alignment horizontal="center" vertical="center" wrapText="1" readingOrder="1"/>
    </xf>
    <xf numFmtId="0" fontId="18" fillId="11" borderId="10" xfId="0" applyFont="1" applyFill="1" applyBorder="1" applyAlignment="1">
      <alignment horizontal="center" vertical="center" wrapText="1" readingOrder="1"/>
    </xf>
    <xf numFmtId="0" fontId="18" fillId="11" borderId="11" xfId="0" applyFont="1" applyFill="1" applyBorder="1" applyAlignment="1">
      <alignment horizontal="center" vertical="center" wrapText="1" readingOrder="1"/>
    </xf>
    <xf numFmtId="0" fontId="18" fillId="11" borderId="0" xfId="0" applyFont="1" applyFill="1" applyAlignment="1">
      <alignment horizontal="center" vertical="center" wrapText="1" readingOrder="1"/>
    </xf>
    <xf numFmtId="0" fontId="18" fillId="11" borderId="12" xfId="0" applyFont="1" applyFill="1" applyBorder="1" applyAlignment="1">
      <alignment horizontal="center" vertical="center" wrapText="1" readingOrder="1"/>
    </xf>
    <xf numFmtId="0" fontId="18" fillId="10" borderId="8" xfId="0" applyFont="1" applyFill="1" applyBorder="1" applyAlignment="1">
      <alignment horizontal="center" vertical="center" wrapText="1" readingOrder="1"/>
    </xf>
    <xf numFmtId="0" fontId="18" fillId="10" borderId="9" xfId="0" applyFont="1" applyFill="1" applyBorder="1" applyAlignment="1">
      <alignment horizontal="center" vertical="center" wrapText="1" readingOrder="1"/>
    </xf>
    <xf numFmtId="0" fontId="18" fillId="10" borderId="10" xfId="0" applyFont="1" applyFill="1" applyBorder="1" applyAlignment="1">
      <alignment horizontal="center" vertical="center" wrapText="1" readingOrder="1"/>
    </xf>
    <xf numFmtId="0" fontId="18" fillId="10" borderId="11" xfId="0" applyFont="1" applyFill="1" applyBorder="1" applyAlignment="1">
      <alignment horizontal="center" vertical="center" wrapText="1" readingOrder="1"/>
    </xf>
    <xf numFmtId="0" fontId="18" fillId="10" borderId="0" xfId="0" applyFont="1" applyFill="1" applyAlignment="1">
      <alignment horizontal="center" vertical="center" wrapText="1" readingOrder="1"/>
    </xf>
    <xf numFmtId="0" fontId="18" fillId="10" borderId="12" xfId="0" applyFont="1" applyFill="1" applyBorder="1" applyAlignment="1">
      <alignment horizontal="center" vertical="center" wrapText="1" readingOrder="1"/>
    </xf>
    <xf numFmtId="0" fontId="18" fillId="12" borderId="8" xfId="0" applyFont="1" applyFill="1" applyBorder="1" applyAlignment="1">
      <alignment horizontal="center" vertical="center" wrapText="1" readingOrder="1"/>
    </xf>
    <xf numFmtId="0" fontId="18" fillId="12" borderId="9" xfId="0" applyFont="1" applyFill="1" applyBorder="1" applyAlignment="1">
      <alignment horizontal="center" vertical="center" wrapText="1" readingOrder="1"/>
    </xf>
    <xf numFmtId="0" fontId="18" fillId="12" borderId="10" xfId="0" applyFont="1" applyFill="1" applyBorder="1" applyAlignment="1">
      <alignment horizontal="center" vertical="center" wrapText="1" readingOrder="1"/>
    </xf>
    <xf numFmtId="0" fontId="18" fillId="12" borderId="11" xfId="0" applyFont="1" applyFill="1" applyBorder="1" applyAlignment="1">
      <alignment horizontal="center" vertical="center" wrapText="1" readingOrder="1"/>
    </xf>
    <xf numFmtId="0" fontId="18" fillId="12" borderId="0" xfId="0" applyFont="1" applyFill="1" applyAlignment="1">
      <alignment horizontal="center" vertical="center" wrapText="1" readingOrder="1"/>
    </xf>
    <xf numFmtId="0" fontId="18" fillId="12" borderId="12" xfId="0" applyFont="1" applyFill="1" applyBorder="1" applyAlignment="1">
      <alignment horizontal="center" vertical="center" wrapText="1" readingOrder="1"/>
    </xf>
    <xf numFmtId="0" fontId="18" fillId="4" borderId="8" xfId="0" applyFont="1" applyFill="1" applyBorder="1" applyAlignment="1">
      <alignment horizontal="center" vertical="center" wrapText="1" readingOrder="1"/>
    </xf>
    <xf numFmtId="0" fontId="18" fillId="4" borderId="9" xfId="0" applyFont="1" applyFill="1" applyBorder="1" applyAlignment="1">
      <alignment horizontal="center" vertical="center" wrapText="1" readingOrder="1"/>
    </xf>
    <xf numFmtId="0" fontId="18" fillId="4" borderId="10" xfId="0" applyFont="1" applyFill="1" applyBorder="1" applyAlignment="1">
      <alignment horizontal="center" vertical="center" wrapText="1" readingOrder="1"/>
    </xf>
    <xf numFmtId="0" fontId="18" fillId="4" borderId="11" xfId="0" applyFont="1" applyFill="1" applyBorder="1" applyAlignment="1">
      <alignment horizontal="center" vertical="center" wrapText="1" readingOrder="1"/>
    </xf>
    <xf numFmtId="0" fontId="18" fillId="4" borderId="0" xfId="0" applyFont="1" applyFill="1" applyAlignment="1">
      <alignment horizontal="center" vertical="center" wrapText="1" readingOrder="1"/>
    </xf>
    <xf numFmtId="0" fontId="18" fillId="4" borderId="12" xfId="0" applyFont="1" applyFill="1" applyBorder="1" applyAlignment="1">
      <alignment horizontal="center" vertical="center" wrapText="1" readingOrder="1"/>
    </xf>
    <xf numFmtId="0" fontId="57" fillId="0" borderId="13" xfId="0" applyFont="1" applyBorder="1" applyAlignment="1">
      <alignment horizontal="center" vertical="center" wrapText="1"/>
    </xf>
    <xf numFmtId="0" fontId="57" fillId="0" borderId="13" xfId="0" applyFont="1" applyBorder="1" applyAlignment="1">
      <alignment horizontal="center" vertical="center"/>
    </xf>
    <xf numFmtId="0" fontId="55" fillId="0" borderId="13" xfId="0" applyFont="1" applyBorder="1" applyAlignment="1">
      <alignment horizontal="center" vertical="center" wrapText="1"/>
    </xf>
    <xf numFmtId="0" fontId="55" fillId="0" borderId="13" xfId="0" applyFont="1" applyBorder="1" applyAlignment="1">
      <alignment horizontal="center" vertical="center"/>
    </xf>
    <xf numFmtId="0" fontId="17" fillId="10" borderId="64" xfId="0" applyFont="1" applyFill="1" applyBorder="1" applyAlignment="1" applyProtection="1">
      <alignment horizontal="center" vertical="center" wrapText="1" readingOrder="1"/>
      <protection hidden="1"/>
    </xf>
    <xf numFmtId="0" fontId="17" fillId="10" borderId="31" xfId="0" applyFont="1" applyFill="1" applyBorder="1" applyAlignment="1" applyProtection="1">
      <alignment horizontal="center" vertical="center" wrapText="1" readingOrder="1"/>
      <protection hidden="1"/>
    </xf>
    <xf numFmtId="0" fontId="17" fillId="10" borderId="57" xfId="0" applyFont="1" applyFill="1" applyBorder="1" applyAlignment="1" applyProtection="1">
      <alignment horizontal="center" vertical="center" wrapText="1" readingOrder="1"/>
      <protection hidden="1"/>
    </xf>
    <xf numFmtId="0" fontId="17" fillId="10" borderId="0" xfId="0" applyFont="1" applyFill="1" applyAlignment="1" applyProtection="1">
      <alignment horizontal="center" vertical="center" wrapText="1" readingOrder="1"/>
      <protection hidden="1"/>
    </xf>
    <xf numFmtId="0" fontId="17" fillId="10" borderId="65" xfId="0" applyFont="1" applyFill="1" applyBorder="1" applyAlignment="1" applyProtection="1">
      <alignment horizontal="center" vertical="center" wrapText="1" readingOrder="1"/>
      <protection hidden="1"/>
    </xf>
    <xf numFmtId="0" fontId="17" fillId="10" borderId="55" xfId="0" applyFont="1" applyFill="1" applyBorder="1" applyAlignment="1" applyProtection="1">
      <alignment horizontal="center" vertical="center" wrapText="1" readingOrder="1"/>
      <protection hidden="1"/>
    </xf>
    <xf numFmtId="0" fontId="17" fillId="10" borderId="54" xfId="0" applyFont="1" applyFill="1" applyBorder="1" applyAlignment="1" applyProtection="1">
      <alignment horizontal="center" vertical="center" wrapText="1" readingOrder="1"/>
      <protection hidden="1"/>
    </xf>
    <xf numFmtId="0" fontId="17" fillId="10" borderId="48" xfId="0" applyFont="1" applyFill="1" applyBorder="1" applyAlignment="1" applyProtection="1">
      <alignment horizontal="center" vertical="center" wrapText="1" readingOrder="1"/>
      <protection hidden="1"/>
    </xf>
    <xf numFmtId="0" fontId="17" fillId="10" borderId="56" xfId="0" applyFont="1" applyFill="1" applyBorder="1" applyAlignment="1" applyProtection="1">
      <alignment horizontal="center" vertical="center" wrapText="1" readingOrder="1"/>
      <protection hidden="1"/>
    </xf>
    <xf numFmtId="0" fontId="56" fillId="0" borderId="13" xfId="0" applyFont="1" applyBorder="1" applyAlignment="1">
      <alignment horizontal="center" vertical="center" wrapText="1"/>
    </xf>
    <xf numFmtId="0" fontId="56" fillId="0" borderId="13" xfId="0" applyFont="1" applyBorder="1" applyAlignment="1">
      <alignment horizontal="center" vertical="center"/>
    </xf>
    <xf numFmtId="0" fontId="15" fillId="9" borderId="0" xfId="0" applyFont="1" applyFill="1" applyAlignment="1">
      <alignment horizontal="center" vertical="center" wrapText="1" readingOrder="1"/>
    </xf>
    <xf numFmtId="0" fontId="17" fillId="11" borderId="64" xfId="0" applyFont="1" applyFill="1" applyBorder="1" applyAlignment="1" applyProtection="1">
      <alignment horizontal="center" wrapText="1" readingOrder="1"/>
      <protection hidden="1"/>
    </xf>
    <xf numFmtId="0" fontId="17" fillId="11" borderId="31" xfId="0" applyFont="1" applyFill="1" applyBorder="1" applyAlignment="1" applyProtection="1">
      <alignment horizontal="center" wrapText="1" readingOrder="1"/>
      <protection hidden="1"/>
    </xf>
    <xf numFmtId="0" fontId="17" fillId="11" borderId="57" xfId="0" applyFont="1" applyFill="1" applyBorder="1" applyAlignment="1" applyProtection="1">
      <alignment horizontal="center" wrapText="1" readingOrder="1"/>
      <protection hidden="1"/>
    </xf>
    <xf numFmtId="0" fontId="17" fillId="11" borderId="0" xfId="0" applyFont="1" applyFill="1" applyAlignment="1" applyProtection="1">
      <alignment horizontal="center" wrapText="1" readingOrder="1"/>
      <protection hidden="1"/>
    </xf>
    <xf numFmtId="0" fontId="17" fillId="11" borderId="65" xfId="0" applyFont="1" applyFill="1" applyBorder="1" applyAlignment="1" applyProtection="1">
      <alignment horizontal="center" wrapText="1" readingOrder="1"/>
      <protection hidden="1"/>
    </xf>
    <xf numFmtId="0" fontId="17" fillId="11" borderId="55" xfId="0" applyFont="1" applyFill="1" applyBorder="1" applyAlignment="1" applyProtection="1">
      <alignment horizontal="center" wrapText="1" readingOrder="1"/>
      <protection hidden="1"/>
    </xf>
    <xf numFmtId="0" fontId="17" fillId="11" borderId="54" xfId="0" applyFont="1" applyFill="1" applyBorder="1" applyAlignment="1" applyProtection="1">
      <alignment horizontal="center" wrapText="1" readingOrder="1"/>
      <protection hidden="1"/>
    </xf>
    <xf numFmtId="0" fontId="17" fillId="11" borderId="48" xfId="0" applyFont="1" applyFill="1" applyBorder="1" applyAlignment="1" applyProtection="1">
      <alignment horizontal="center" wrapText="1" readingOrder="1"/>
      <protection hidden="1"/>
    </xf>
    <xf numFmtId="0" fontId="17" fillId="11" borderId="56" xfId="0" applyFont="1" applyFill="1" applyBorder="1" applyAlignment="1" applyProtection="1">
      <alignment horizontal="center" wrapText="1" readingOrder="1"/>
      <protection hidden="1"/>
    </xf>
    <xf numFmtId="0" fontId="17" fillId="12" borderId="64" xfId="0" applyFont="1" applyFill="1" applyBorder="1" applyAlignment="1" applyProtection="1">
      <alignment horizontal="center" wrapText="1" readingOrder="1"/>
      <protection hidden="1"/>
    </xf>
    <xf numFmtId="0" fontId="17" fillId="12" borderId="31" xfId="0" applyFont="1" applyFill="1" applyBorder="1" applyAlignment="1" applyProtection="1">
      <alignment horizontal="center" wrapText="1" readingOrder="1"/>
      <protection hidden="1"/>
    </xf>
    <xf numFmtId="0" fontId="17" fillId="12" borderId="5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65" xfId="0" applyFont="1" applyFill="1" applyBorder="1" applyAlignment="1" applyProtection="1">
      <alignment horizontal="center" wrapText="1" readingOrder="1"/>
      <protection hidden="1"/>
    </xf>
    <xf numFmtId="0" fontId="17" fillId="12" borderId="55" xfId="0" applyFont="1" applyFill="1" applyBorder="1" applyAlignment="1" applyProtection="1">
      <alignment horizontal="center" wrapText="1" readingOrder="1"/>
      <protection hidden="1"/>
    </xf>
    <xf numFmtId="0" fontId="17" fillId="12" borderId="54" xfId="0" applyFont="1" applyFill="1" applyBorder="1" applyAlignment="1" applyProtection="1">
      <alignment horizontal="center" wrapText="1" readingOrder="1"/>
      <protection hidden="1"/>
    </xf>
    <xf numFmtId="0" fontId="17" fillId="12" borderId="48" xfId="0" applyFont="1" applyFill="1" applyBorder="1" applyAlignment="1" applyProtection="1">
      <alignment horizontal="center" wrapText="1" readingOrder="1"/>
      <protection hidden="1"/>
    </xf>
    <xf numFmtId="0" fontId="17" fillId="12" borderId="56" xfId="0" applyFont="1" applyFill="1" applyBorder="1" applyAlignment="1" applyProtection="1">
      <alignment horizontal="center" wrapText="1" readingOrder="1"/>
      <protection hidden="1"/>
    </xf>
    <xf numFmtId="0" fontId="22" fillId="0" borderId="0" xfId="0" applyFont="1" applyAlignment="1">
      <alignment horizontal="center" vertical="center" wrapText="1"/>
    </xf>
    <xf numFmtId="0" fontId="17" fillId="4" borderId="64" xfId="0" applyFont="1" applyFill="1" applyBorder="1" applyAlignment="1" applyProtection="1">
      <alignment horizontal="center" wrapText="1" readingOrder="1"/>
      <protection hidden="1"/>
    </xf>
    <xf numFmtId="0" fontId="17" fillId="4" borderId="31" xfId="0" applyFont="1" applyFill="1" applyBorder="1" applyAlignment="1" applyProtection="1">
      <alignment horizontal="center" wrapText="1" readingOrder="1"/>
      <protection hidden="1"/>
    </xf>
    <xf numFmtId="0" fontId="17" fillId="4" borderId="57" xfId="0" applyFont="1" applyFill="1" applyBorder="1" applyAlignment="1" applyProtection="1">
      <alignment horizontal="center" wrapText="1" readingOrder="1"/>
      <protection hidden="1"/>
    </xf>
    <xf numFmtId="0" fontId="17" fillId="4" borderId="0" xfId="0" applyFont="1" applyFill="1" applyAlignment="1" applyProtection="1">
      <alignment horizontal="center" wrapText="1" readingOrder="1"/>
      <protection hidden="1"/>
    </xf>
    <xf numFmtId="0" fontId="17" fillId="4" borderId="65" xfId="0" applyFont="1" applyFill="1" applyBorder="1" applyAlignment="1" applyProtection="1">
      <alignment horizontal="center" wrapText="1" readingOrder="1"/>
      <protection hidden="1"/>
    </xf>
    <xf numFmtId="0" fontId="17" fillId="4" borderId="55" xfId="0" applyFont="1" applyFill="1" applyBorder="1" applyAlignment="1" applyProtection="1">
      <alignment horizontal="center" wrapText="1" readingOrder="1"/>
      <protection hidden="1"/>
    </xf>
    <xf numFmtId="0" fontId="17" fillId="4" borderId="54" xfId="0" applyFont="1" applyFill="1" applyBorder="1" applyAlignment="1" applyProtection="1">
      <alignment horizontal="center" wrapText="1" readingOrder="1"/>
      <protection hidden="1"/>
    </xf>
    <xf numFmtId="0" fontId="17" fillId="4" borderId="48" xfId="0" applyFont="1" applyFill="1" applyBorder="1" applyAlignment="1" applyProtection="1">
      <alignment horizontal="center" wrapText="1" readingOrder="1"/>
      <protection hidden="1"/>
    </xf>
    <xf numFmtId="0" fontId="17" fillId="4" borderId="56" xfId="0" applyFont="1" applyFill="1" applyBorder="1" applyAlignment="1" applyProtection="1">
      <alignment horizontal="center" wrapText="1" readingOrder="1"/>
      <protection hidden="1"/>
    </xf>
    <xf numFmtId="0" fontId="15" fillId="9" borderId="0" xfId="0" applyFont="1" applyFill="1" applyAlignment="1">
      <alignment horizontal="center" vertical="center" textRotation="90" wrapText="1" readingOrder="1"/>
    </xf>
    <xf numFmtId="0" fontId="38" fillId="10" borderId="8" xfId="0" applyFont="1" applyFill="1" applyBorder="1" applyAlignment="1">
      <alignment horizontal="center" vertical="center" wrapText="1" readingOrder="1"/>
    </xf>
    <xf numFmtId="0" fontId="38" fillId="10" borderId="9" xfId="0" applyFont="1" applyFill="1" applyBorder="1" applyAlignment="1">
      <alignment horizontal="center" vertical="center" wrapText="1" readingOrder="1"/>
    </xf>
    <xf numFmtId="0" fontId="38" fillId="10" borderId="10" xfId="0" applyFont="1" applyFill="1" applyBorder="1" applyAlignment="1">
      <alignment horizontal="center" vertical="center" wrapText="1" readingOrder="1"/>
    </xf>
    <xf numFmtId="0" fontId="38" fillId="10" borderId="11" xfId="0" applyFont="1" applyFill="1" applyBorder="1" applyAlignment="1">
      <alignment horizontal="center" vertical="center" wrapText="1" readingOrder="1"/>
    </xf>
    <xf numFmtId="0" fontId="38" fillId="10" borderId="0" xfId="0" applyFont="1" applyFill="1" applyAlignment="1">
      <alignment horizontal="center" vertical="center" wrapText="1" readingOrder="1"/>
    </xf>
    <xf numFmtId="0" fontId="38" fillId="10" borderId="12" xfId="0" applyFont="1" applyFill="1" applyBorder="1" applyAlignment="1">
      <alignment horizontal="center" vertical="center" wrapText="1" readingOrder="1"/>
    </xf>
    <xf numFmtId="0" fontId="58" fillId="0" borderId="13" xfId="0" applyFont="1" applyBorder="1" applyAlignment="1">
      <alignment horizontal="center" vertical="center" wrapText="1"/>
    </xf>
    <xf numFmtId="0" fontId="58" fillId="0" borderId="13" xfId="0" applyFont="1" applyBorder="1" applyAlignment="1">
      <alignment horizontal="center" vertical="center"/>
    </xf>
    <xf numFmtId="0" fontId="38" fillId="11" borderId="8" xfId="0" applyFont="1" applyFill="1" applyBorder="1" applyAlignment="1">
      <alignment horizontal="center" vertical="center" wrapText="1" readingOrder="1"/>
    </xf>
    <xf numFmtId="0" fontId="38" fillId="11" borderId="9" xfId="0" applyFont="1" applyFill="1" applyBorder="1" applyAlignment="1">
      <alignment horizontal="center" vertical="center" wrapText="1" readingOrder="1"/>
    </xf>
    <xf numFmtId="0" fontId="38" fillId="11" borderId="10" xfId="0" applyFont="1" applyFill="1" applyBorder="1" applyAlignment="1">
      <alignment horizontal="center" vertical="center" wrapText="1" readingOrder="1"/>
    </xf>
    <xf numFmtId="0" fontId="38" fillId="11" borderId="11" xfId="0" applyFont="1" applyFill="1" applyBorder="1" applyAlignment="1">
      <alignment horizontal="center" vertical="center" wrapText="1" readingOrder="1"/>
    </xf>
    <xf numFmtId="0" fontId="38" fillId="11" borderId="0" xfId="0" applyFont="1" applyFill="1" applyAlignment="1">
      <alignment horizontal="center" vertical="center" wrapText="1" readingOrder="1"/>
    </xf>
    <xf numFmtId="0" fontId="38" fillId="11" borderId="12" xfId="0" applyFont="1" applyFill="1" applyBorder="1" applyAlignment="1">
      <alignment horizontal="center" vertical="center" wrapText="1" readingOrder="1"/>
    </xf>
    <xf numFmtId="0" fontId="37" fillId="0" borderId="0" xfId="0" applyFont="1" applyAlignment="1">
      <alignment horizontal="center" vertical="center" wrapText="1"/>
    </xf>
    <xf numFmtId="0" fontId="19" fillId="0" borderId="0" xfId="0" applyFont="1" applyAlignment="1">
      <alignment horizontal="center" vertical="center" wrapText="1"/>
    </xf>
    <xf numFmtId="0" fontId="38" fillId="4" borderId="8" xfId="0" applyFont="1" applyFill="1" applyBorder="1" applyAlignment="1">
      <alignment horizontal="center" vertical="center" wrapText="1" readingOrder="1"/>
    </xf>
    <xf numFmtId="0" fontId="38" fillId="4" borderId="9" xfId="0" applyFont="1" applyFill="1" applyBorder="1" applyAlignment="1">
      <alignment horizontal="center" vertical="center" wrapText="1" readingOrder="1"/>
    </xf>
    <xf numFmtId="0" fontId="38" fillId="4" borderId="10" xfId="0" applyFont="1" applyFill="1" applyBorder="1" applyAlignment="1">
      <alignment horizontal="center" vertical="center" wrapText="1" readingOrder="1"/>
    </xf>
    <xf numFmtId="0" fontId="38" fillId="4" borderId="11" xfId="0" applyFont="1" applyFill="1" applyBorder="1" applyAlignment="1">
      <alignment horizontal="center" vertical="center" wrapText="1" readingOrder="1"/>
    </xf>
    <xf numFmtId="0" fontId="38" fillId="4" borderId="0" xfId="0" applyFont="1" applyFill="1" applyAlignment="1">
      <alignment horizontal="center" vertical="center" wrapText="1" readingOrder="1"/>
    </xf>
    <xf numFmtId="0" fontId="38" fillId="4" borderId="12" xfId="0" applyFont="1" applyFill="1" applyBorder="1" applyAlignment="1">
      <alignment horizontal="center" vertical="center" wrapText="1" readingOrder="1"/>
    </xf>
    <xf numFmtId="0" fontId="38" fillId="12" borderId="8" xfId="0" applyFont="1" applyFill="1" applyBorder="1" applyAlignment="1">
      <alignment horizontal="center" vertical="center" wrapText="1" readingOrder="1"/>
    </xf>
    <xf numFmtId="0" fontId="38" fillId="12" borderId="9" xfId="0" applyFont="1" applyFill="1" applyBorder="1" applyAlignment="1">
      <alignment horizontal="center" vertical="center" wrapText="1" readingOrder="1"/>
    </xf>
    <xf numFmtId="0" fontId="38" fillId="12" borderId="10" xfId="0" applyFont="1" applyFill="1" applyBorder="1" applyAlignment="1">
      <alignment horizontal="center" vertical="center" wrapText="1" readingOrder="1"/>
    </xf>
    <xf numFmtId="0" fontId="38" fillId="12" borderId="11" xfId="0" applyFont="1" applyFill="1" applyBorder="1" applyAlignment="1">
      <alignment horizontal="center" vertical="center" wrapText="1" readingOrder="1"/>
    </xf>
    <xf numFmtId="0" fontId="38" fillId="12" borderId="0" xfId="0" applyFont="1" applyFill="1" applyAlignment="1">
      <alignment horizontal="center" vertical="center" wrapText="1" readingOrder="1"/>
    </xf>
    <xf numFmtId="0" fontId="38" fillId="12" borderId="12" xfId="0" applyFont="1" applyFill="1" applyBorder="1" applyAlignment="1">
      <alignment horizontal="center" vertical="center" wrapText="1" readingOrder="1"/>
    </xf>
    <xf numFmtId="0" fontId="21" fillId="0" borderId="0" xfId="0" applyFont="1" applyAlignment="1">
      <alignment horizontal="center" vertical="center"/>
    </xf>
    <xf numFmtId="0" fontId="40" fillId="0" borderId="0" xfId="0" applyFont="1" applyAlignment="1">
      <alignment horizontal="center" vertical="center"/>
    </xf>
    <xf numFmtId="0" fontId="36" fillId="14" borderId="15" xfId="0" applyFont="1" applyFill="1" applyBorder="1" applyAlignment="1">
      <alignment horizontal="center" vertical="center" wrapText="1" readingOrder="1"/>
    </xf>
    <xf numFmtId="0" fontId="36" fillId="14" borderId="16" xfId="0" applyFont="1" applyFill="1" applyBorder="1" applyAlignment="1">
      <alignment horizontal="center" vertical="center" wrapText="1" readingOrder="1"/>
    </xf>
    <xf numFmtId="0" fontId="36" fillId="14" borderId="26" xfId="0" applyFont="1" applyFill="1" applyBorder="1" applyAlignment="1">
      <alignment horizontal="center" vertical="center" wrapText="1" readingOrder="1"/>
    </xf>
    <xf numFmtId="0" fontId="31" fillId="2" borderId="0" xfId="0" applyFont="1" applyFill="1" applyAlignment="1">
      <alignment horizontal="justify" vertical="center" wrapText="1"/>
    </xf>
    <xf numFmtId="0" fontId="33" fillId="14" borderId="15" xfId="0" applyFont="1" applyFill="1" applyBorder="1" applyAlignment="1">
      <alignment horizontal="center" vertical="center" wrapText="1" readingOrder="1"/>
    </xf>
    <xf numFmtId="0" fontId="33" fillId="14" borderId="16" xfId="0" applyFont="1" applyFill="1" applyBorder="1" applyAlignment="1">
      <alignment horizontal="center" vertical="center" wrapText="1" readingOrder="1"/>
    </xf>
    <xf numFmtId="0" fontId="33" fillId="14" borderId="114" xfId="0" applyFont="1" applyFill="1" applyBorder="1" applyAlignment="1">
      <alignment horizontal="center" vertical="center" wrapText="1" readingOrder="1"/>
    </xf>
    <xf numFmtId="0" fontId="33" fillId="2" borderId="22" xfId="0" applyFont="1" applyFill="1" applyBorder="1" applyAlignment="1">
      <alignment horizontal="center" vertical="center" wrapText="1" readingOrder="1"/>
    </xf>
    <xf numFmtId="0" fontId="33" fillId="2" borderId="17" xfId="0" applyFont="1" applyFill="1" applyBorder="1" applyAlignment="1">
      <alignment horizontal="center" vertical="center" wrapText="1" readingOrder="1"/>
    </xf>
    <xf numFmtId="0" fontId="33" fillId="2" borderId="113" xfId="0" applyFont="1" applyFill="1" applyBorder="1" applyAlignment="1">
      <alignment horizontal="center" vertical="center" wrapText="1" readingOrder="1"/>
    </xf>
    <xf numFmtId="0" fontId="33" fillId="2" borderId="74" xfId="0" applyFont="1" applyFill="1" applyBorder="1" applyAlignment="1">
      <alignment horizontal="center" vertical="center" wrapText="1" readingOrder="1"/>
    </xf>
    <xf numFmtId="0" fontId="33" fillId="2" borderId="14" xfId="0" applyFont="1" applyFill="1" applyBorder="1" applyAlignment="1">
      <alignment horizontal="center" vertical="center" wrapText="1" readingOrder="1"/>
    </xf>
    <xf numFmtId="0" fontId="33" fillId="2" borderId="13" xfId="0" applyFont="1" applyFill="1" applyBorder="1" applyAlignment="1">
      <alignment horizontal="center" vertical="center" wrapText="1" readingOrder="1"/>
    </xf>
    <xf numFmtId="0" fontId="33" fillId="2" borderId="19" xfId="0" applyFont="1" applyFill="1" applyBorder="1" applyAlignment="1">
      <alignment horizontal="center" vertical="center" wrapText="1" readingOrder="1"/>
    </xf>
    <xf numFmtId="0" fontId="33" fillId="2" borderId="67" xfId="0" applyFont="1" applyFill="1" applyBorder="1" applyAlignment="1">
      <alignment horizontal="center" vertical="center" wrapText="1" readingOrder="1"/>
    </xf>
    <xf numFmtId="0" fontId="33" fillId="2" borderId="20" xfId="0" applyFont="1" applyFill="1" applyBorder="1" applyAlignment="1">
      <alignment horizontal="center" vertical="center" wrapText="1" readingOrder="1"/>
    </xf>
    <xf numFmtId="0" fontId="4" fillId="18" borderId="102" xfId="0" applyFont="1" applyFill="1" applyBorder="1" applyAlignment="1">
      <alignment horizontal="center" vertical="center"/>
    </xf>
    <xf numFmtId="0" fontId="4" fillId="18" borderId="103" xfId="0" applyFont="1" applyFill="1" applyBorder="1" applyAlignment="1">
      <alignment horizontal="center" vertical="center"/>
    </xf>
    <xf numFmtId="0" fontId="4" fillId="18" borderId="104" xfId="0" applyFont="1" applyFill="1" applyBorder="1" applyAlignment="1">
      <alignment horizontal="center" vertical="center"/>
    </xf>
    <xf numFmtId="0" fontId="83" fillId="0" borderId="0" xfId="0" applyFont="1" applyAlignment="1">
      <alignment horizontal="center"/>
    </xf>
    <xf numFmtId="0" fontId="88" fillId="0" borderId="0" xfId="0" applyFont="1" applyAlignment="1">
      <alignment horizontal="left" vertical="top" wrapText="1"/>
    </xf>
    <xf numFmtId="0" fontId="0" fillId="0" borderId="7" xfId="0" applyBorder="1" applyAlignment="1">
      <alignment horizontal="center"/>
    </xf>
    <xf numFmtId="0" fontId="53" fillId="0" borderId="115" xfId="0" applyFont="1" applyBorder="1" applyAlignment="1">
      <alignment horizontal="center" vertical="center" wrapText="1"/>
    </xf>
    <xf numFmtId="0" fontId="53" fillId="0" borderId="117"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63" fillId="4" borderId="115" xfId="0" applyFont="1" applyFill="1" applyBorder="1" applyAlignment="1">
      <alignment horizontal="center" vertical="center"/>
    </xf>
    <xf numFmtId="0" fontId="63" fillId="4" borderId="116" xfId="0" applyFont="1" applyFill="1" applyBorder="1" applyAlignment="1">
      <alignment horizontal="center" vertical="center"/>
    </xf>
    <xf numFmtId="0" fontId="63" fillId="4" borderId="117" xfId="0" applyFont="1" applyFill="1" applyBorder="1" applyAlignment="1">
      <alignment horizontal="center" vertical="center"/>
    </xf>
    <xf numFmtId="0" fontId="63" fillId="4" borderId="5" xfId="0" applyFont="1" applyFill="1" applyBorder="1" applyAlignment="1">
      <alignment horizontal="center" vertical="center"/>
    </xf>
    <xf numFmtId="0" fontId="63" fillId="4" borderId="7" xfId="0" applyFont="1" applyFill="1" applyBorder="1" applyAlignment="1">
      <alignment horizontal="center" vertical="center"/>
    </xf>
    <xf numFmtId="0" fontId="63" fillId="4" borderId="6" xfId="0" applyFont="1" applyFill="1" applyBorder="1" applyAlignment="1">
      <alignment horizontal="center" vertical="center"/>
    </xf>
    <xf numFmtId="0" fontId="59" fillId="12" borderId="115" xfId="0" applyFont="1" applyFill="1" applyBorder="1" applyAlignment="1">
      <alignment horizontal="center" vertical="center"/>
    </xf>
    <xf numFmtId="0" fontId="59" fillId="12" borderId="117" xfId="0" applyFont="1" applyFill="1" applyBorder="1" applyAlignment="1">
      <alignment horizontal="center" vertical="center"/>
    </xf>
    <xf numFmtId="0" fontId="59" fillId="12" borderId="5" xfId="0" applyFont="1" applyFill="1" applyBorder="1" applyAlignment="1">
      <alignment horizontal="center" vertical="center"/>
    </xf>
    <xf numFmtId="0" fontId="59" fillId="12" borderId="6" xfId="0" applyFont="1" applyFill="1" applyBorder="1" applyAlignment="1">
      <alignment horizontal="center" vertical="center"/>
    </xf>
    <xf numFmtId="0" fontId="59" fillId="12" borderId="115" xfId="0" applyFont="1" applyFill="1" applyBorder="1" applyAlignment="1">
      <alignment horizontal="center" vertical="center" wrapText="1"/>
    </xf>
    <xf numFmtId="0" fontId="59" fillId="12" borderId="117" xfId="0" applyFont="1" applyFill="1" applyBorder="1" applyAlignment="1">
      <alignment horizontal="center" vertical="center" wrapText="1"/>
    </xf>
    <xf numFmtId="0" fontId="59" fillId="12" borderId="5" xfId="0" applyFont="1" applyFill="1" applyBorder="1" applyAlignment="1">
      <alignment horizontal="center" vertical="center" wrapText="1"/>
    </xf>
    <xf numFmtId="0" fontId="59" fillId="12" borderId="6" xfId="0" applyFont="1" applyFill="1" applyBorder="1" applyAlignment="1">
      <alignment horizontal="center" vertical="center" wrapText="1"/>
    </xf>
    <xf numFmtId="0" fontId="87" fillId="24" borderId="13" xfId="0" applyFont="1" applyFill="1" applyBorder="1" applyAlignment="1">
      <alignment horizontal="center"/>
    </xf>
    <xf numFmtId="0" fontId="58" fillId="0" borderId="0" xfId="0" applyFont="1" applyAlignment="1">
      <alignment horizontal="center"/>
    </xf>
    <xf numFmtId="0" fontId="0" fillId="0" borderId="0" xfId="0" applyAlignment="1">
      <alignment horizontal="center"/>
    </xf>
    <xf numFmtId="0" fontId="64" fillId="0" borderId="54" xfId="4" applyFont="1" applyBorder="1" applyAlignment="1">
      <alignment horizontal="center" vertical="center" wrapText="1"/>
    </xf>
    <xf numFmtId="0" fontId="64" fillId="0" borderId="48" xfId="4" applyFont="1" applyBorder="1" applyAlignment="1">
      <alignment horizontal="center" vertical="center" wrapText="1"/>
    </xf>
    <xf numFmtId="0" fontId="64" fillId="0" borderId="56" xfId="4" applyFont="1" applyBorder="1" applyAlignment="1">
      <alignment horizontal="center" vertical="center" wrapText="1"/>
    </xf>
  </cellXfs>
  <cellStyles count="13">
    <cellStyle name="Normal" xfId="0" builtinId="0"/>
    <cellStyle name="Normal - Style1 2" xfId="2"/>
    <cellStyle name="Normal 2" xfId="4"/>
    <cellStyle name="Normal 2 2" xfId="3"/>
    <cellStyle name="Normal 2 3" xfId="7"/>
    <cellStyle name="Normal 3" xfId="5"/>
    <cellStyle name="Normal 4" xfId="9"/>
    <cellStyle name="Normal 5" xfId="10"/>
    <cellStyle name="Normal 6" xfId="11"/>
    <cellStyle name="Normal 7" xfId="12"/>
    <cellStyle name="Porcentaje" xfId="1" builtinId="5"/>
    <cellStyle name="Porcentaje 2" xfId="8"/>
    <cellStyle name="Porcentaje 3" xfId="6"/>
  </cellStyles>
  <dxfs count="292">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D6BBEB"/>
      <color rgb="FFFFFF99"/>
      <color rgb="FFFF3300"/>
      <color rgb="FFFF5050"/>
      <color rgb="FFFFFF66"/>
      <color rgb="FFBAD08A"/>
      <color rgb="FFABC670"/>
      <color rgb="FFFFFFCC"/>
      <color rgb="FFF1E8F8"/>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oneCellAnchor>
    <xdr:from>
      <xdr:col>0</xdr:col>
      <xdr:colOff>91209</xdr:colOff>
      <xdr:row>48</xdr:row>
      <xdr:rowOff>87169</xdr:rowOff>
    </xdr:from>
    <xdr:ext cx="1359591" cy="425450"/>
    <xdr:pic>
      <xdr:nvPicPr>
        <xdr:cNvPr id="3" name="Imagen 2" descr="C:\Users\1075321411\AppData\Local\Packages\Microsoft.Windows.Photos_8wekyb3d8bbwe\TempState\ShareServiceTempFolder\logo para documentos encabezado.jpe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09" y="21708919"/>
          <a:ext cx="1359591" cy="425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176894</xdr:colOff>
      <xdr:row>1</xdr:row>
      <xdr:rowOff>27215</xdr:rowOff>
    </xdr:from>
    <xdr:to>
      <xdr:col>3</xdr:col>
      <xdr:colOff>1800680</xdr:colOff>
      <xdr:row>4</xdr:row>
      <xdr:rowOff>689</xdr:rowOff>
    </xdr:to>
    <xdr:pic>
      <xdr:nvPicPr>
        <xdr:cNvPr id="4" name="Imagen 3" descr="C:\Users\30507918\Downloads\Hospital-departamental-Maria-inmaculada-1.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894" y="326572"/>
          <a:ext cx="4481286" cy="742043"/>
        </a:xfrm>
        <a:prstGeom prst="rect">
          <a:avLst/>
        </a:prstGeom>
        <a:noFill/>
        <a:ln>
          <a:noFill/>
        </a:ln>
      </xdr:spPr>
    </xdr:pic>
    <xdr:clientData/>
  </xdr:twoCellAnchor>
  <xdr:oneCellAnchor>
    <xdr:from>
      <xdr:col>0</xdr:col>
      <xdr:colOff>185964</xdr:colOff>
      <xdr:row>184</xdr:row>
      <xdr:rowOff>47626</xdr:rowOff>
    </xdr:from>
    <xdr:ext cx="1093107" cy="278946"/>
    <xdr:pic>
      <xdr:nvPicPr>
        <xdr:cNvPr id="5" name="23 Imagen">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2">
          <a:lum/>
          <a:alphaModFix/>
        </a:blip>
        <a:srcRect/>
        <a:stretch>
          <a:fillRect/>
        </a:stretch>
      </xdr:blipFill>
      <xdr:spPr>
        <a:xfrm>
          <a:off x="185964" y="283130626"/>
          <a:ext cx="1093107" cy="278946"/>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317499</xdr:colOff>
          <xdr:row>31</xdr:row>
          <xdr:rowOff>127000</xdr:rowOff>
        </xdr:from>
        <xdr:to>
          <xdr:col>27</xdr:col>
          <xdr:colOff>15875</xdr:colOff>
          <xdr:row>61</xdr:row>
          <xdr:rowOff>95250</xdr:rowOff>
        </xdr:to>
        <xdr:pic>
          <xdr:nvPicPr>
            <xdr:cNvPr id="2" name="Imagen 1"/>
            <xdr:cNvPicPr>
              <a:picLocks noChangeAspect="1" noChangeArrowheads="1"/>
              <a:extLst>
                <a:ext uri="{84589F7E-364E-4C9E-8A38-B11213B215E9}">
                  <a14:cameraTool cellRange="[2]Escalas!$M$2:$S$10" spid="_x0000_s37321"/>
                </a:ext>
              </a:extLst>
            </xdr:cNvPicPr>
          </xdr:nvPicPr>
          <xdr:blipFill>
            <a:blip xmlns:r="http://schemas.openxmlformats.org/officeDocument/2006/relationships" r:embed="rId1"/>
            <a:srcRect/>
            <a:stretch>
              <a:fillRect/>
            </a:stretch>
          </xdr:blipFill>
          <xdr:spPr bwMode="auto">
            <a:xfrm>
              <a:off x="2984499" y="6127750"/>
              <a:ext cx="12588876" cy="56832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20Matriz%20de%20Riesgos%20SARLAFT-SICOF-PTEE%20-%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1014186003\Downloads\-MATRIZ%20RIESGOS%202024%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ntructivo"/>
      <sheetName val="2.Mapa Ajuste"/>
      <sheetName val="2.Mapa final"/>
      <sheetName val="3.Matriz Calor Inherente"/>
      <sheetName val="4.Matriz Calor Residual"/>
      <sheetName val="5.Tabla probabilidad"/>
      <sheetName val="6.Tabla Impacto"/>
      <sheetName val="7.Tabla Valoración controles"/>
      <sheetName val="Opciones Tratamiento"/>
      <sheetName val="Hoja1"/>
      <sheetName val="SEGUIMIENTO A RIESGOS"/>
      <sheetName val="Cambios y Novedades Matriz 2024"/>
      <sheetName val="CONTROL DE CAMB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2024"/>
      <sheetName val="Cambios y novedades matriz 2024"/>
      <sheetName val="Valoracion controles"/>
      <sheetName val="Escala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EK58"/>
  <sheetViews>
    <sheetView topLeftCell="D37" zoomScale="110" zoomScaleNormal="110" workbookViewId="0">
      <selection activeCell="D56" sqref="D56:G56"/>
    </sheetView>
  </sheetViews>
  <sheetFormatPr baseColWidth="10" defaultRowHeight="15" x14ac:dyDescent="0.25"/>
  <cols>
    <col min="1" max="2" width="24.7109375" style="36" customWidth="1"/>
    <col min="3" max="3" width="9.42578125" style="36" customWidth="1"/>
    <col min="4" max="4" width="24.7109375" style="36" customWidth="1"/>
    <col min="5" max="5" width="27.7109375" style="36" customWidth="1"/>
    <col min="6" max="6" width="24.7109375" style="36" customWidth="1"/>
    <col min="7" max="7" width="27.5703125" style="36" customWidth="1"/>
    <col min="8" max="8" width="11.42578125" style="36" hidden="1" customWidth="1"/>
    <col min="9" max="9" width="11.42578125" style="36" customWidth="1"/>
    <col min="10" max="10" width="11.28515625" style="36" customWidth="1"/>
    <col min="11" max="16384" width="11.42578125" style="36"/>
  </cols>
  <sheetData>
    <row r="1" spans="1:7" ht="15.75" thickBot="1" x14ac:dyDescent="0.3"/>
    <row r="2" spans="1:7" ht="18" x14ac:dyDescent="0.25">
      <c r="A2" s="467" t="s">
        <v>143</v>
      </c>
      <c r="B2" s="468"/>
      <c r="C2" s="468"/>
      <c r="D2" s="468"/>
      <c r="E2" s="468"/>
      <c r="F2" s="468"/>
      <c r="G2" s="469"/>
    </row>
    <row r="3" spans="1:7" x14ac:dyDescent="0.25">
      <c r="A3" s="37"/>
      <c r="B3" s="38"/>
      <c r="C3" s="38"/>
      <c r="D3" s="38"/>
      <c r="E3" s="38"/>
      <c r="F3" s="38"/>
      <c r="G3" s="39"/>
    </row>
    <row r="4" spans="1:7" ht="63" customHeight="1" x14ac:dyDescent="0.25">
      <c r="A4" s="470" t="s">
        <v>180</v>
      </c>
      <c r="B4" s="471"/>
      <c r="C4" s="471"/>
      <c r="D4" s="471"/>
      <c r="E4" s="471"/>
      <c r="F4" s="471"/>
      <c r="G4" s="472"/>
    </row>
    <row r="5" spans="1:7" ht="63" customHeight="1" x14ac:dyDescent="0.25">
      <c r="A5" s="473"/>
      <c r="B5" s="474"/>
      <c r="C5" s="474"/>
      <c r="D5" s="474"/>
      <c r="E5" s="474"/>
      <c r="F5" s="474"/>
      <c r="G5" s="475"/>
    </row>
    <row r="6" spans="1:7" ht="16.5" x14ac:dyDescent="0.25">
      <c r="A6" s="476" t="s">
        <v>141</v>
      </c>
      <c r="B6" s="477"/>
      <c r="C6" s="477"/>
      <c r="D6" s="477"/>
      <c r="E6" s="477"/>
      <c r="F6" s="477"/>
      <c r="G6" s="478"/>
    </row>
    <row r="7" spans="1:7" ht="95.25" customHeight="1" x14ac:dyDescent="0.25">
      <c r="A7" s="486" t="s">
        <v>144</v>
      </c>
      <c r="B7" s="487"/>
      <c r="C7" s="487"/>
      <c r="D7" s="487"/>
      <c r="E7" s="487"/>
      <c r="F7" s="487"/>
      <c r="G7" s="488"/>
    </row>
    <row r="8" spans="1:7" ht="16.5" x14ac:dyDescent="0.25">
      <c r="A8" s="62"/>
      <c r="B8" s="422"/>
      <c r="C8" s="422"/>
      <c r="D8" s="422"/>
      <c r="E8" s="422"/>
      <c r="F8" s="422"/>
      <c r="G8" s="63"/>
    </row>
    <row r="9" spans="1:7" ht="16.5" customHeight="1" x14ac:dyDescent="0.25">
      <c r="A9" s="479" t="s">
        <v>173</v>
      </c>
      <c r="B9" s="480"/>
      <c r="C9" s="480"/>
      <c r="D9" s="480"/>
      <c r="E9" s="480"/>
      <c r="F9" s="480"/>
      <c r="G9" s="481"/>
    </row>
    <row r="10" spans="1:7" ht="44.25" customHeight="1" x14ac:dyDescent="0.25">
      <c r="A10" s="479"/>
      <c r="B10" s="480"/>
      <c r="C10" s="480"/>
      <c r="D10" s="480"/>
      <c r="E10" s="480"/>
      <c r="F10" s="480"/>
      <c r="G10" s="481"/>
    </row>
    <row r="11" spans="1:7" ht="15.75" thickBot="1" x14ac:dyDescent="0.3">
      <c r="A11" s="60"/>
      <c r="B11" s="423"/>
      <c r="C11" s="424"/>
      <c r="D11" s="425"/>
      <c r="E11" s="425"/>
      <c r="F11" s="426"/>
      <c r="G11" s="61"/>
    </row>
    <row r="12" spans="1:7" ht="15.75" thickTop="1" x14ac:dyDescent="0.25">
      <c r="A12" s="60"/>
      <c r="B12" s="482" t="s">
        <v>142</v>
      </c>
      <c r="C12" s="483"/>
      <c r="D12" s="484" t="s">
        <v>174</v>
      </c>
      <c r="E12" s="485"/>
      <c r="F12" s="423"/>
      <c r="G12" s="61"/>
    </row>
    <row r="13" spans="1:7" ht="35.25" customHeight="1" x14ac:dyDescent="0.25">
      <c r="A13" s="60"/>
      <c r="B13" s="459" t="s">
        <v>171</v>
      </c>
      <c r="C13" s="460"/>
      <c r="D13" s="461" t="s">
        <v>172</v>
      </c>
      <c r="E13" s="462"/>
      <c r="F13" s="423"/>
      <c r="G13" s="61"/>
    </row>
    <row r="14" spans="1:7" ht="69.75" customHeight="1" x14ac:dyDescent="0.25">
      <c r="A14" s="60"/>
      <c r="B14" s="459" t="s">
        <v>186</v>
      </c>
      <c r="C14" s="460"/>
      <c r="D14" s="461" t="s">
        <v>187</v>
      </c>
      <c r="E14" s="462"/>
      <c r="F14" s="423"/>
      <c r="G14" s="61"/>
    </row>
    <row r="15" spans="1:7" ht="34.5" customHeight="1" x14ac:dyDescent="0.25">
      <c r="A15" s="60"/>
      <c r="B15" s="463" t="s">
        <v>1</v>
      </c>
      <c r="C15" s="464"/>
      <c r="D15" s="465" t="s">
        <v>181</v>
      </c>
      <c r="E15" s="466"/>
      <c r="F15" s="423"/>
      <c r="G15" s="61"/>
    </row>
    <row r="16" spans="1:7" ht="28.5" customHeight="1" x14ac:dyDescent="0.25">
      <c r="A16" s="60"/>
      <c r="B16" s="463" t="s">
        <v>32</v>
      </c>
      <c r="C16" s="464"/>
      <c r="D16" s="465" t="s">
        <v>182</v>
      </c>
      <c r="E16" s="466"/>
      <c r="F16" s="423"/>
      <c r="G16" s="61"/>
    </row>
    <row r="17" spans="1:7" ht="72.75" customHeight="1" x14ac:dyDescent="0.25">
      <c r="A17" s="60"/>
      <c r="B17" s="463" t="s">
        <v>0</v>
      </c>
      <c r="C17" s="464"/>
      <c r="D17" s="465" t="s">
        <v>183</v>
      </c>
      <c r="E17" s="466"/>
      <c r="F17" s="423"/>
      <c r="G17" s="61"/>
    </row>
    <row r="18" spans="1:7" ht="61.5" customHeight="1" x14ac:dyDescent="0.25">
      <c r="A18" s="60"/>
      <c r="B18" s="463" t="s">
        <v>38</v>
      </c>
      <c r="C18" s="464"/>
      <c r="D18" s="465" t="s">
        <v>146</v>
      </c>
      <c r="E18" s="466"/>
      <c r="F18" s="423"/>
      <c r="G18" s="61"/>
    </row>
    <row r="19" spans="1:7" ht="28.5" customHeight="1" x14ac:dyDescent="0.25">
      <c r="A19" s="60"/>
      <c r="B19" s="451" t="s">
        <v>184</v>
      </c>
      <c r="C19" s="452"/>
      <c r="D19" s="449" t="s">
        <v>188</v>
      </c>
      <c r="E19" s="450"/>
      <c r="F19" s="423"/>
      <c r="G19" s="61"/>
    </row>
    <row r="20" spans="1:7" ht="56.25" customHeight="1" x14ac:dyDescent="0.25">
      <c r="A20" s="60"/>
      <c r="B20" s="116" t="s">
        <v>185</v>
      </c>
      <c r="C20" s="117"/>
      <c r="D20" s="457" t="s">
        <v>190</v>
      </c>
      <c r="E20" s="458"/>
      <c r="F20" s="423"/>
      <c r="G20" s="61"/>
    </row>
    <row r="21" spans="1:7" ht="71.25" customHeight="1" x14ac:dyDescent="0.25">
      <c r="A21" s="60"/>
      <c r="B21" s="453" t="s">
        <v>145</v>
      </c>
      <c r="C21" s="454"/>
      <c r="D21" s="443" t="s">
        <v>147</v>
      </c>
      <c r="E21" s="444"/>
      <c r="F21" s="423"/>
      <c r="G21" s="61"/>
    </row>
    <row r="22" spans="1:7" ht="39.75" customHeight="1" x14ac:dyDescent="0.25">
      <c r="A22" s="60"/>
      <c r="B22" s="441" t="s">
        <v>28</v>
      </c>
      <c r="C22" s="442"/>
      <c r="D22" s="455" t="s">
        <v>189</v>
      </c>
      <c r="E22" s="456"/>
      <c r="F22" s="423"/>
      <c r="G22" s="61"/>
    </row>
    <row r="23" spans="1:7" ht="55.5" customHeight="1" x14ac:dyDescent="0.25">
      <c r="A23" s="60"/>
      <c r="B23" s="441" t="s">
        <v>148</v>
      </c>
      <c r="C23" s="442"/>
      <c r="D23" s="443" t="s">
        <v>149</v>
      </c>
      <c r="E23" s="444"/>
      <c r="F23" s="423"/>
      <c r="G23" s="61"/>
    </row>
    <row r="24" spans="1:7" ht="42" customHeight="1" x14ac:dyDescent="0.25">
      <c r="A24" s="60"/>
      <c r="B24" s="441" t="s">
        <v>36</v>
      </c>
      <c r="C24" s="442"/>
      <c r="D24" s="443" t="s">
        <v>150</v>
      </c>
      <c r="E24" s="444"/>
      <c r="F24" s="423"/>
      <c r="G24" s="61"/>
    </row>
    <row r="25" spans="1:7" ht="59.25" customHeight="1" x14ac:dyDescent="0.25">
      <c r="A25" s="60"/>
      <c r="B25" s="441" t="s">
        <v>140</v>
      </c>
      <c r="C25" s="442"/>
      <c r="D25" s="443" t="s">
        <v>151</v>
      </c>
      <c r="E25" s="444"/>
      <c r="F25" s="423"/>
      <c r="G25" s="61"/>
    </row>
    <row r="26" spans="1:7" ht="23.25" customHeight="1" x14ac:dyDescent="0.25">
      <c r="A26" s="60"/>
      <c r="B26" s="441" t="s">
        <v>10</v>
      </c>
      <c r="C26" s="442"/>
      <c r="D26" s="443" t="s">
        <v>152</v>
      </c>
      <c r="E26" s="444"/>
      <c r="F26" s="423"/>
      <c r="G26" s="61"/>
    </row>
    <row r="27" spans="1:7" ht="30.75" customHeight="1" x14ac:dyDescent="0.25">
      <c r="A27" s="60"/>
      <c r="B27" s="441" t="s">
        <v>156</v>
      </c>
      <c r="C27" s="442"/>
      <c r="D27" s="443" t="s">
        <v>153</v>
      </c>
      <c r="E27" s="444"/>
      <c r="F27" s="423"/>
      <c r="G27" s="61"/>
    </row>
    <row r="28" spans="1:7" ht="35.25" customHeight="1" x14ac:dyDescent="0.25">
      <c r="A28" s="60"/>
      <c r="B28" s="441" t="s">
        <v>157</v>
      </c>
      <c r="C28" s="442"/>
      <c r="D28" s="443" t="s">
        <v>154</v>
      </c>
      <c r="E28" s="444"/>
      <c r="F28" s="423"/>
      <c r="G28" s="61"/>
    </row>
    <row r="29" spans="1:7" ht="33" customHeight="1" x14ac:dyDescent="0.25">
      <c r="A29" s="60"/>
      <c r="B29" s="441" t="s">
        <v>157</v>
      </c>
      <c r="C29" s="442"/>
      <c r="D29" s="443" t="s">
        <v>154</v>
      </c>
      <c r="E29" s="444"/>
      <c r="F29" s="423"/>
      <c r="G29" s="61"/>
    </row>
    <row r="30" spans="1:7" ht="30" customHeight="1" x14ac:dyDescent="0.25">
      <c r="A30" s="60"/>
      <c r="B30" s="441" t="s">
        <v>158</v>
      </c>
      <c r="C30" s="442"/>
      <c r="D30" s="443" t="s">
        <v>155</v>
      </c>
      <c r="E30" s="444"/>
      <c r="F30" s="423"/>
      <c r="G30" s="61"/>
    </row>
    <row r="31" spans="1:7" ht="35.25" customHeight="1" x14ac:dyDescent="0.25">
      <c r="A31" s="60"/>
      <c r="B31" s="441" t="s">
        <v>159</v>
      </c>
      <c r="C31" s="442"/>
      <c r="D31" s="443" t="s">
        <v>160</v>
      </c>
      <c r="E31" s="444"/>
      <c r="F31" s="423"/>
      <c r="G31" s="61"/>
    </row>
    <row r="32" spans="1:7" ht="31.5" customHeight="1" x14ac:dyDescent="0.25">
      <c r="A32" s="60"/>
      <c r="B32" s="441" t="s">
        <v>161</v>
      </c>
      <c r="C32" s="442"/>
      <c r="D32" s="443" t="s">
        <v>162</v>
      </c>
      <c r="E32" s="444"/>
      <c r="F32" s="423"/>
      <c r="G32" s="61"/>
    </row>
    <row r="33" spans="1:7" ht="35.25" customHeight="1" x14ac:dyDescent="0.25">
      <c r="A33" s="60"/>
      <c r="B33" s="441" t="s">
        <v>163</v>
      </c>
      <c r="C33" s="442"/>
      <c r="D33" s="443" t="s">
        <v>164</v>
      </c>
      <c r="E33" s="444"/>
      <c r="F33" s="423"/>
      <c r="G33" s="61"/>
    </row>
    <row r="34" spans="1:7" ht="59.25" customHeight="1" x14ac:dyDescent="0.25">
      <c r="A34" s="60"/>
      <c r="B34" s="441" t="s">
        <v>165</v>
      </c>
      <c r="C34" s="442"/>
      <c r="D34" s="443" t="s">
        <v>166</v>
      </c>
      <c r="E34" s="444"/>
      <c r="F34" s="423"/>
      <c r="G34" s="61"/>
    </row>
    <row r="35" spans="1:7" ht="29.25" customHeight="1" x14ac:dyDescent="0.25">
      <c r="A35" s="60"/>
      <c r="B35" s="441" t="s">
        <v>25</v>
      </c>
      <c r="C35" s="442"/>
      <c r="D35" s="443" t="s">
        <v>167</v>
      </c>
      <c r="E35" s="444"/>
      <c r="F35" s="423"/>
      <c r="G35" s="61"/>
    </row>
    <row r="36" spans="1:7" ht="82.5" customHeight="1" x14ac:dyDescent="0.25">
      <c r="A36" s="60"/>
      <c r="B36" s="441" t="s">
        <v>169</v>
      </c>
      <c r="C36" s="442"/>
      <c r="D36" s="443" t="s">
        <v>168</v>
      </c>
      <c r="E36" s="444"/>
      <c r="F36" s="423"/>
      <c r="G36" s="61"/>
    </row>
    <row r="37" spans="1:7" ht="46.5" customHeight="1" x14ac:dyDescent="0.25">
      <c r="A37" s="60"/>
      <c r="B37" s="441" t="s">
        <v>29</v>
      </c>
      <c r="C37" s="442"/>
      <c r="D37" s="443" t="s">
        <v>170</v>
      </c>
      <c r="E37" s="444"/>
      <c r="F37" s="423"/>
      <c r="G37" s="61"/>
    </row>
    <row r="38" spans="1:7" ht="6.75" customHeight="1" thickBot="1" x14ac:dyDescent="0.3">
      <c r="A38" s="60"/>
      <c r="B38" s="445"/>
      <c r="C38" s="446"/>
      <c r="D38" s="447"/>
      <c r="E38" s="448"/>
      <c r="F38" s="423"/>
      <c r="G38" s="61"/>
    </row>
    <row r="39" spans="1:7" ht="15.75" thickTop="1" x14ac:dyDescent="0.25">
      <c r="A39" s="60"/>
      <c r="B39" s="427"/>
      <c r="C39" s="427"/>
      <c r="D39" s="428"/>
      <c r="E39" s="428"/>
      <c r="F39" s="423"/>
      <c r="G39" s="61"/>
    </row>
    <row r="40" spans="1:7" ht="21" customHeight="1" x14ac:dyDescent="0.25">
      <c r="A40" s="435" t="s">
        <v>175</v>
      </c>
      <c r="B40" s="436"/>
      <c r="C40" s="436"/>
      <c r="D40" s="436"/>
      <c r="E40" s="436"/>
      <c r="F40" s="436"/>
      <c r="G40" s="437"/>
    </row>
    <row r="41" spans="1:7" ht="20.25" customHeight="1" x14ac:dyDescent="0.25">
      <c r="A41" s="435" t="s">
        <v>176</v>
      </c>
      <c r="B41" s="436"/>
      <c r="C41" s="436"/>
      <c r="D41" s="436"/>
      <c r="E41" s="436"/>
      <c r="F41" s="436"/>
      <c r="G41" s="437"/>
    </row>
    <row r="42" spans="1:7" ht="20.25" customHeight="1" x14ac:dyDescent="0.25">
      <c r="A42" s="435" t="s">
        <v>177</v>
      </c>
      <c r="B42" s="436"/>
      <c r="C42" s="436"/>
      <c r="D42" s="436"/>
      <c r="E42" s="436"/>
      <c r="F42" s="436"/>
      <c r="G42" s="437"/>
    </row>
    <row r="43" spans="1:7" ht="20.25" customHeight="1" x14ac:dyDescent="0.25">
      <c r="A43" s="435" t="s">
        <v>178</v>
      </c>
      <c r="B43" s="436"/>
      <c r="C43" s="436"/>
      <c r="D43" s="436"/>
      <c r="E43" s="436"/>
      <c r="F43" s="436"/>
      <c r="G43" s="437"/>
    </row>
    <row r="44" spans="1:7" x14ac:dyDescent="0.25">
      <c r="A44" s="435" t="s">
        <v>179</v>
      </c>
      <c r="B44" s="436"/>
      <c r="C44" s="436"/>
      <c r="D44" s="436"/>
      <c r="E44" s="436"/>
      <c r="F44" s="436"/>
      <c r="G44" s="437"/>
    </row>
    <row r="45" spans="1:7" x14ac:dyDescent="0.25">
      <c r="A45" s="435" t="s">
        <v>891</v>
      </c>
      <c r="B45" s="436"/>
      <c r="C45" s="436"/>
      <c r="D45" s="436"/>
      <c r="E45" s="436"/>
      <c r="F45" s="436"/>
      <c r="G45" s="437"/>
    </row>
    <row r="46" spans="1:7" x14ac:dyDescent="0.25">
      <c r="A46" s="438" t="s">
        <v>892</v>
      </c>
      <c r="B46" s="439"/>
      <c r="C46" s="439"/>
      <c r="D46" s="439"/>
      <c r="E46" s="439"/>
      <c r="F46" s="439"/>
      <c r="G46" s="440"/>
    </row>
    <row r="47" spans="1:7" ht="15.75" thickBot="1" x14ac:dyDescent="0.3">
      <c r="A47" s="432" t="s">
        <v>957</v>
      </c>
      <c r="B47" s="433"/>
      <c r="C47" s="433"/>
      <c r="D47" s="433"/>
      <c r="E47" s="433"/>
      <c r="F47" s="433"/>
      <c r="G47" s="434"/>
    </row>
    <row r="48" spans="1:7" ht="15.75" thickBot="1" x14ac:dyDescent="0.3"/>
    <row r="49" spans="1:141" s="302" customFormat="1" ht="15" customHeight="1" thickBot="1" x14ac:dyDescent="0.3">
      <c r="A49" s="503"/>
      <c r="B49" s="495" t="s">
        <v>913</v>
      </c>
      <c r="C49" s="495"/>
      <c r="D49" s="495"/>
      <c r="E49" s="495"/>
      <c r="F49" s="495"/>
      <c r="G49" s="495"/>
      <c r="H49" s="496"/>
      <c r="I49" s="429" t="s">
        <v>914</v>
      </c>
      <c r="J49" s="430" t="s">
        <v>561</v>
      </c>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3"/>
      <c r="AY49" s="303"/>
      <c r="AZ49" s="303"/>
      <c r="BA49" s="303"/>
      <c r="BB49" s="303"/>
      <c r="BC49" s="303"/>
      <c r="BD49" s="303"/>
      <c r="BE49" s="303"/>
      <c r="BF49" s="303"/>
      <c r="BG49" s="303"/>
      <c r="BH49" s="303"/>
      <c r="BI49" s="303"/>
      <c r="BJ49" s="303"/>
      <c r="BK49" s="303"/>
      <c r="BL49" s="303"/>
      <c r="BM49" s="303"/>
      <c r="BN49" s="303"/>
      <c r="BO49" s="303"/>
      <c r="BP49" s="303"/>
      <c r="BQ49" s="303"/>
      <c r="BR49" s="303"/>
      <c r="BS49" s="303"/>
      <c r="BT49" s="303"/>
      <c r="BU49" s="303"/>
      <c r="BV49" s="303"/>
      <c r="BW49" s="303"/>
      <c r="BX49" s="303"/>
      <c r="BY49" s="303"/>
      <c r="BZ49" s="303"/>
      <c r="CA49" s="303"/>
      <c r="CB49" s="303"/>
      <c r="CC49" s="303"/>
      <c r="CD49" s="303"/>
      <c r="CE49" s="303"/>
      <c r="CF49" s="303"/>
      <c r="CG49" s="303"/>
      <c r="CH49" s="303"/>
      <c r="CI49" s="303"/>
      <c r="CJ49" s="303"/>
      <c r="CK49" s="303"/>
      <c r="CL49" s="303"/>
      <c r="CM49" s="303"/>
      <c r="CN49" s="303"/>
      <c r="CO49" s="303"/>
      <c r="CP49" s="303"/>
      <c r="CQ49" s="303"/>
      <c r="CR49" s="303"/>
      <c r="CS49" s="303"/>
      <c r="CT49" s="303"/>
      <c r="CU49" s="303"/>
      <c r="CV49" s="303"/>
      <c r="CW49" s="303"/>
      <c r="CX49" s="303"/>
      <c r="CY49" s="303"/>
      <c r="CZ49" s="303"/>
      <c r="DA49" s="303"/>
      <c r="DB49" s="303"/>
      <c r="DC49" s="303"/>
      <c r="DD49" s="303"/>
      <c r="DE49" s="303"/>
      <c r="DF49" s="303"/>
      <c r="DG49" s="303"/>
      <c r="DH49" s="303"/>
      <c r="DI49" s="303"/>
      <c r="DJ49" s="303"/>
      <c r="DK49" s="303"/>
      <c r="DL49" s="303"/>
      <c r="DM49" s="303"/>
      <c r="DN49" s="303"/>
      <c r="DO49" s="303"/>
      <c r="DP49" s="303"/>
      <c r="DQ49" s="303"/>
      <c r="DR49" s="303"/>
      <c r="DS49" s="303"/>
      <c r="DT49" s="303"/>
      <c r="DU49" s="303"/>
      <c r="DV49" s="303"/>
      <c r="DW49" s="303"/>
      <c r="DX49" s="303"/>
      <c r="DY49" s="303"/>
      <c r="DZ49" s="303"/>
      <c r="EA49" s="303"/>
      <c r="EB49" s="303"/>
      <c r="EC49" s="303"/>
      <c r="ED49" s="303"/>
      <c r="EE49" s="303"/>
      <c r="EF49" s="303"/>
      <c r="EG49" s="303"/>
      <c r="EH49" s="303"/>
      <c r="EI49" s="303"/>
      <c r="EJ49" s="303"/>
      <c r="EK49" s="303"/>
    </row>
    <row r="50" spans="1:141" s="302" customFormat="1" ht="14.25" customHeight="1" thickBot="1" x14ac:dyDescent="0.3">
      <c r="A50" s="504"/>
      <c r="B50" s="497" t="s">
        <v>915</v>
      </c>
      <c r="C50" s="498"/>
      <c r="D50" s="498"/>
      <c r="E50" s="498"/>
      <c r="F50" s="498"/>
      <c r="G50" s="498"/>
      <c r="H50" s="499"/>
      <c r="I50" s="429" t="s">
        <v>916</v>
      </c>
      <c r="J50" s="430">
        <v>3</v>
      </c>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3"/>
      <c r="AY50" s="303"/>
      <c r="AZ50" s="303"/>
      <c r="BA50" s="303"/>
      <c r="BB50" s="303"/>
      <c r="BC50" s="303"/>
      <c r="BD50" s="303"/>
      <c r="BE50" s="303"/>
      <c r="BF50" s="303"/>
      <c r="BG50" s="303"/>
      <c r="BH50" s="303"/>
      <c r="BI50" s="303"/>
      <c r="BJ50" s="303"/>
      <c r="BK50" s="303"/>
      <c r="BL50" s="303"/>
      <c r="BM50" s="303"/>
      <c r="BN50" s="303"/>
      <c r="BO50" s="303"/>
      <c r="BP50" s="303"/>
      <c r="BQ50" s="303"/>
      <c r="BR50" s="303"/>
      <c r="BS50" s="303"/>
      <c r="BT50" s="303"/>
      <c r="BU50" s="303"/>
      <c r="BV50" s="303"/>
      <c r="BW50" s="303"/>
      <c r="BX50" s="303"/>
      <c r="BY50" s="303"/>
      <c r="BZ50" s="303"/>
      <c r="CA50" s="303"/>
      <c r="CB50" s="303"/>
      <c r="CC50" s="303"/>
      <c r="CD50" s="303"/>
      <c r="CE50" s="303"/>
      <c r="CF50" s="303"/>
      <c r="CG50" s="303"/>
      <c r="CH50" s="303"/>
      <c r="CI50" s="303"/>
      <c r="CJ50" s="303"/>
      <c r="CK50" s="303"/>
      <c r="CL50" s="303"/>
      <c r="CM50" s="303"/>
      <c r="CN50" s="303"/>
      <c r="CO50" s="303"/>
      <c r="CP50" s="303"/>
      <c r="CQ50" s="303"/>
      <c r="CR50" s="303"/>
      <c r="CS50" s="303"/>
      <c r="CT50" s="303"/>
      <c r="CU50" s="303"/>
      <c r="CV50" s="303"/>
      <c r="CW50" s="303"/>
      <c r="CX50" s="303"/>
      <c r="CY50" s="303"/>
      <c r="CZ50" s="303"/>
      <c r="DA50" s="303"/>
      <c r="DB50" s="303"/>
      <c r="DC50" s="303"/>
      <c r="DD50" s="303"/>
      <c r="DE50" s="303"/>
      <c r="DF50" s="303"/>
      <c r="DG50" s="303"/>
      <c r="DH50" s="303"/>
      <c r="DI50" s="303"/>
      <c r="DJ50" s="303"/>
      <c r="DK50" s="303"/>
      <c r="DL50" s="303"/>
      <c r="DM50" s="303"/>
      <c r="DN50" s="303"/>
      <c r="DO50" s="303"/>
      <c r="DP50" s="303"/>
      <c r="DQ50" s="303"/>
      <c r="DR50" s="303"/>
      <c r="DS50" s="303"/>
      <c r="DT50" s="303"/>
      <c r="DU50" s="303"/>
      <c r="DV50" s="303"/>
      <c r="DW50" s="303"/>
      <c r="DX50" s="303"/>
      <c r="DY50" s="303"/>
      <c r="DZ50" s="303"/>
      <c r="EA50" s="303"/>
      <c r="EB50" s="303"/>
      <c r="EC50" s="303"/>
      <c r="ED50" s="303"/>
      <c r="EE50" s="303"/>
      <c r="EF50" s="303"/>
      <c r="EG50" s="303"/>
      <c r="EH50" s="303"/>
      <c r="EI50" s="303"/>
      <c r="EJ50" s="303"/>
      <c r="EK50" s="303"/>
    </row>
    <row r="51" spans="1:141" s="302" customFormat="1" ht="15.75" customHeight="1" thickBot="1" x14ac:dyDescent="0.3">
      <c r="A51" s="505"/>
      <c r="B51" s="500"/>
      <c r="C51" s="501"/>
      <c r="D51" s="501"/>
      <c r="E51" s="501"/>
      <c r="F51" s="501"/>
      <c r="G51" s="501"/>
      <c r="H51" s="502"/>
      <c r="I51" s="429" t="s">
        <v>917</v>
      </c>
      <c r="J51" s="431">
        <v>45834</v>
      </c>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3"/>
      <c r="AY51" s="303"/>
      <c r="AZ51" s="303"/>
      <c r="BA51" s="303"/>
      <c r="BB51" s="303"/>
      <c r="BC51" s="303"/>
      <c r="BD51" s="303"/>
      <c r="BE51" s="303"/>
      <c r="BF51" s="303"/>
      <c r="BG51" s="303"/>
      <c r="BH51" s="303"/>
      <c r="BI51" s="303"/>
      <c r="BJ51" s="303"/>
      <c r="BK51" s="303"/>
      <c r="BL51" s="303"/>
      <c r="BM51" s="303"/>
      <c r="BN51" s="303"/>
      <c r="BO51" s="303"/>
      <c r="BP51" s="303"/>
      <c r="BQ51" s="303"/>
      <c r="BR51" s="303"/>
      <c r="BS51" s="303"/>
      <c r="BT51" s="303"/>
      <c r="BU51" s="303"/>
      <c r="BV51" s="303"/>
      <c r="BW51" s="303"/>
      <c r="BX51" s="303"/>
      <c r="BY51" s="303"/>
      <c r="BZ51" s="303"/>
      <c r="CA51" s="303"/>
      <c r="CB51" s="303"/>
      <c r="CC51" s="303"/>
      <c r="CD51" s="303"/>
      <c r="CE51" s="303"/>
      <c r="CF51" s="303"/>
      <c r="CG51" s="303"/>
      <c r="CH51" s="303"/>
      <c r="CI51" s="303"/>
      <c r="CJ51" s="303"/>
      <c r="CK51" s="303"/>
      <c r="CL51" s="303"/>
      <c r="CM51" s="303"/>
      <c r="CN51" s="303"/>
      <c r="CO51" s="303"/>
      <c r="CP51" s="303"/>
      <c r="CQ51" s="303"/>
      <c r="CR51" s="303"/>
      <c r="CS51" s="303"/>
      <c r="CT51" s="303"/>
      <c r="CU51" s="303"/>
      <c r="CV51" s="303"/>
      <c r="CW51" s="303"/>
      <c r="CX51" s="303"/>
      <c r="CY51" s="303"/>
      <c r="CZ51" s="303"/>
      <c r="DA51" s="303"/>
      <c r="DB51" s="303"/>
      <c r="DC51" s="303"/>
      <c r="DD51" s="303"/>
      <c r="DE51" s="303"/>
      <c r="DF51" s="303"/>
      <c r="DG51" s="303"/>
      <c r="DH51" s="303"/>
      <c r="DI51" s="303"/>
      <c r="DJ51" s="303"/>
      <c r="DK51" s="303"/>
      <c r="DL51" s="303"/>
      <c r="DM51" s="303"/>
      <c r="DN51" s="303"/>
      <c r="DO51" s="303"/>
      <c r="DP51" s="303"/>
      <c r="DQ51" s="303"/>
      <c r="DR51" s="303"/>
      <c r="DS51" s="303"/>
      <c r="DT51" s="303"/>
      <c r="DU51" s="303"/>
      <c r="DV51" s="303"/>
      <c r="DW51" s="303"/>
      <c r="DX51" s="303"/>
      <c r="DY51" s="303"/>
      <c r="DZ51" s="303"/>
      <c r="EA51" s="303"/>
      <c r="EB51" s="303"/>
      <c r="EC51" s="303"/>
      <c r="ED51" s="303"/>
      <c r="EE51" s="303"/>
      <c r="EF51" s="303"/>
      <c r="EG51" s="303"/>
      <c r="EH51" s="303"/>
      <c r="EI51" s="303"/>
      <c r="EJ51" s="303"/>
      <c r="EK51" s="303"/>
    </row>
    <row r="52" spans="1:141" ht="15.75" thickBot="1" x14ac:dyDescent="0.3">
      <c r="A52" s="513" t="s">
        <v>905</v>
      </c>
      <c r="B52" s="495"/>
      <c r="C52" s="495"/>
      <c r="D52" s="495"/>
      <c r="E52" s="495"/>
      <c r="F52" s="495"/>
      <c r="G52" s="495"/>
      <c r="H52" s="495"/>
      <c r="I52" s="495"/>
      <c r="J52" s="496"/>
    </row>
    <row r="53" spans="1:141" ht="15.75" thickBot="1" x14ac:dyDescent="0.3">
      <c r="A53" s="514" t="s">
        <v>906</v>
      </c>
      <c r="B53" s="515"/>
      <c r="C53" s="516"/>
      <c r="D53" s="514" t="s">
        <v>907</v>
      </c>
      <c r="E53" s="515"/>
      <c r="F53" s="515"/>
      <c r="G53" s="515"/>
      <c r="H53" s="516"/>
      <c r="I53" s="517" t="s">
        <v>908</v>
      </c>
      <c r="J53" s="518"/>
    </row>
    <row r="54" spans="1:141" x14ac:dyDescent="0.25">
      <c r="A54" s="519" t="s">
        <v>910</v>
      </c>
      <c r="B54" s="519"/>
      <c r="C54" s="519"/>
      <c r="D54" s="519" t="s">
        <v>919</v>
      </c>
      <c r="E54" s="519"/>
      <c r="F54" s="519"/>
      <c r="G54" s="519"/>
      <c r="H54" s="519"/>
      <c r="I54" s="520">
        <v>44490</v>
      </c>
      <c r="J54" s="521"/>
    </row>
    <row r="55" spans="1:141" x14ac:dyDescent="0.25">
      <c r="A55" s="489" t="s">
        <v>911</v>
      </c>
      <c r="B55" s="489"/>
      <c r="C55" s="489"/>
      <c r="D55" s="490" t="s">
        <v>918</v>
      </c>
      <c r="E55" s="490"/>
      <c r="F55" s="490"/>
      <c r="G55" s="490"/>
      <c r="H55" s="490"/>
      <c r="I55" s="491">
        <v>45531</v>
      </c>
      <c r="J55" s="492"/>
    </row>
    <row r="56" spans="1:141" ht="30" customHeight="1" x14ac:dyDescent="0.25">
      <c r="A56" s="509" t="s">
        <v>912</v>
      </c>
      <c r="B56" s="510"/>
      <c r="C56" s="511"/>
      <c r="D56" s="493" t="s">
        <v>958</v>
      </c>
      <c r="E56" s="512"/>
      <c r="F56" s="512"/>
      <c r="G56" s="494"/>
      <c r="H56" s="301"/>
      <c r="I56" s="491">
        <v>45834</v>
      </c>
      <c r="J56" s="492"/>
    </row>
    <row r="57" spans="1:141" ht="15" customHeight="1" x14ac:dyDescent="0.25">
      <c r="A57" s="490" t="s">
        <v>572</v>
      </c>
      <c r="B57" s="490"/>
      <c r="C57" s="490"/>
      <c r="D57" s="490" t="s">
        <v>572</v>
      </c>
      <c r="E57" s="490"/>
      <c r="F57" s="490"/>
      <c r="G57" s="490"/>
      <c r="H57" s="490"/>
      <c r="I57" s="493" t="s">
        <v>909</v>
      </c>
      <c r="J57" s="494"/>
    </row>
    <row r="58" spans="1:141" x14ac:dyDescent="0.25">
      <c r="A58" s="508" t="s">
        <v>573</v>
      </c>
      <c r="B58" s="508"/>
      <c r="C58" s="508"/>
      <c r="D58" s="508" t="s">
        <v>574</v>
      </c>
      <c r="E58" s="508"/>
      <c r="F58" s="508"/>
      <c r="G58" s="508"/>
      <c r="H58" s="508"/>
      <c r="I58" s="506" t="s">
        <v>575</v>
      </c>
      <c r="J58" s="507"/>
    </row>
  </sheetData>
  <mergeCells count="88">
    <mergeCell ref="B49:H49"/>
    <mergeCell ref="B50:H51"/>
    <mergeCell ref="A49:A51"/>
    <mergeCell ref="I58:J58"/>
    <mergeCell ref="I56:J56"/>
    <mergeCell ref="A58:C58"/>
    <mergeCell ref="D58:H58"/>
    <mergeCell ref="A56:C56"/>
    <mergeCell ref="D56:G56"/>
    <mergeCell ref="A52:J52"/>
    <mergeCell ref="A53:C53"/>
    <mergeCell ref="D53:H53"/>
    <mergeCell ref="I53:J53"/>
    <mergeCell ref="A54:C54"/>
    <mergeCell ref="D54:H54"/>
    <mergeCell ref="I54:J54"/>
    <mergeCell ref="A55:C55"/>
    <mergeCell ref="D55:H55"/>
    <mergeCell ref="I55:J55"/>
    <mergeCell ref="A57:C57"/>
    <mergeCell ref="D57:H57"/>
    <mergeCell ref="I57:J57"/>
    <mergeCell ref="A2:G2"/>
    <mergeCell ref="A4:G5"/>
    <mergeCell ref="A6:G6"/>
    <mergeCell ref="A9:G10"/>
    <mergeCell ref="B12:C12"/>
    <mergeCell ref="D12:E12"/>
    <mergeCell ref="A7:G7"/>
    <mergeCell ref="B13:C13"/>
    <mergeCell ref="D13:E13"/>
    <mergeCell ref="B15:C15"/>
    <mergeCell ref="D15:E15"/>
    <mergeCell ref="B18:C18"/>
    <mergeCell ref="B16:C16"/>
    <mergeCell ref="B17:C17"/>
    <mergeCell ref="D16:E16"/>
    <mergeCell ref="D17:E17"/>
    <mergeCell ref="D18:E18"/>
    <mergeCell ref="B14:C14"/>
    <mergeCell ref="D14:E14"/>
    <mergeCell ref="A42:G42"/>
    <mergeCell ref="A43:G43"/>
    <mergeCell ref="A44:G44"/>
    <mergeCell ref="D20:E20"/>
    <mergeCell ref="B24:C24"/>
    <mergeCell ref="D24:E24"/>
    <mergeCell ref="B26:C26"/>
    <mergeCell ref="D26:E26"/>
    <mergeCell ref="D34:E34"/>
    <mergeCell ref="B32:C32"/>
    <mergeCell ref="B31:C31"/>
    <mergeCell ref="D31:E31"/>
    <mergeCell ref="D32:E32"/>
    <mergeCell ref="B27:C27"/>
    <mergeCell ref="D27:E27"/>
    <mergeCell ref="B33:C33"/>
    <mergeCell ref="D33:E33"/>
    <mergeCell ref="B34:C34"/>
    <mergeCell ref="B35:C35"/>
    <mergeCell ref="D35:E35"/>
    <mergeCell ref="B36:C36"/>
    <mergeCell ref="D36:E36"/>
    <mergeCell ref="D30:E30"/>
    <mergeCell ref="D19:E19"/>
    <mergeCell ref="B19:C19"/>
    <mergeCell ref="B25:C25"/>
    <mergeCell ref="D25:E25"/>
    <mergeCell ref="B21:C21"/>
    <mergeCell ref="D21:E21"/>
    <mergeCell ref="B22:C22"/>
    <mergeCell ref="D22:E22"/>
    <mergeCell ref="A47:G47"/>
    <mergeCell ref="A45:G45"/>
    <mergeCell ref="A46:G46"/>
    <mergeCell ref="B23:C23"/>
    <mergeCell ref="D23:E23"/>
    <mergeCell ref="D28:E28"/>
    <mergeCell ref="B28:C28"/>
    <mergeCell ref="A41:G41"/>
    <mergeCell ref="B38:C38"/>
    <mergeCell ref="D38:E38"/>
    <mergeCell ref="B37:C37"/>
    <mergeCell ref="D37:E37"/>
    <mergeCell ref="A40:G40"/>
    <mergeCell ref="B29:C29"/>
    <mergeCell ref="D29:E29"/>
    <mergeCell ref="B30:C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00"/>
  </sheetPr>
  <dimension ref="B3:R34"/>
  <sheetViews>
    <sheetView workbookViewId="0">
      <selection activeCell="B5" sqref="B5:I10"/>
    </sheetView>
  </sheetViews>
  <sheetFormatPr baseColWidth="10" defaultRowHeight="15" x14ac:dyDescent="0.25"/>
  <sheetData>
    <row r="3" spans="2:16" ht="18" x14ac:dyDescent="0.25">
      <c r="B3" s="991" t="s">
        <v>625</v>
      </c>
      <c r="C3" s="991"/>
      <c r="D3" s="991"/>
      <c r="E3" s="991"/>
      <c r="F3" s="991"/>
      <c r="G3" s="252"/>
      <c r="H3" s="252"/>
      <c r="I3" s="252"/>
    </row>
    <row r="5" spans="2:16" x14ac:dyDescent="0.25">
      <c r="B5" s="992" t="s">
        <v>956</v>
      </c>
      <c r="C5" s="992"/>
      <c r="D5" s="992"/>
      <c r="E5" s="992"/>
      <c r="F5" s="992"/>
      <c r="G5" s="992"/>
      <c r="H5" s="992"/>
      <c r="I5" s="992"/>
    </row>
    <row r="6" spans="2:16" x14ac:dyDescent="0.25">
      <c r="B6" s="992"/>
      <c r="C6" s="992"/>
      <c r="D6" s="992"/>
      <c r="E6" s="992"/>
      <c r="F6" s="992"/>
      <c r="G6" s="992"/>
      <c r="H6" s="992"/>
      <c r="I6" s="992"/>
    </row>
    <row r="7" spans="2:16" x14ac:dyDescent="0.25">
      <c r="B7" s="992"/>
      <c r="C7" s="992"/>
      <c r="D7" s="992"/>
      <c r="E7" s="992"/>
      <c r="F7" s="992"/>
      <c r="G7" s="992"/>
      <c r="H7" s="992"/>
      <c r="I7" s="992"/>
    </row>
    <row r="8" spans="2:16" x14ac:dyDescent="0.25">
      <c r="B8" s="992"/>
      <c r="C8" s="992"/>
      <c r="D8" s="992"/>
      <c r="E8" s="992"/>
      <c r="F8" s="992"/>
      <c r="G8" s="992"/>
      <c r="H8" s="992"/>
      <c r="I8" s="992"/>
    </row>
    <row r="9" spans="2:16" x14ac:dyDescent="0.25">
      <c r="B9" s="992"/>
      <c r="C9" s="992"/>
      <c r="D9" s="992"/>
      <c r="E9" s="992"/>
      <c r="F9" s="992"/>
      <c r="G9" s="992"/>
      <c r="H9" s="992"/>
      <c r="I9" s="992"/>
    </row>
    <row r="10" spans="2:16" x14ac:dyDescent="0.25">
      <c r="B10" s="992"/>
      <c r="C10" s="992"/>
      <c r="D10" s="992"/>
      <c r="E10" s="992"/>
      <c r="F10" s="992"/>
      <c r="G10" s="992"/>
      <c r="H10" s="992"/>
      <c r="I10" s="992"/>
    </row>
    <row r="11" spans="2:16" ht="15.75" thickBot="1" x14ac:dyDescent="0.3">
      <c r="B11" s="993"/>
      <c r="C11" s="993"/>
      <c r="D11" s="993"/>
      <c r="E11" s="993"/>
      <c r="F11" s="993"/>
      <c r="G11" s="993"/>
      <c r="H11" s="993"/>
      <c r="I11" s="993"/>
    </row>
    <row r="12" spans="2:16" x14ac:dyDescent="0.25">
      <c r="B12" s="1000" t="s">
        <v>563</v>
      </c>
      <c r="C12" s="1001"/>
      <c r="D12" s="1001"/>
      <c r="E12" s="1001"/>
      <c r="F12" s="1001"/>
      <c r="G12" s="1001"/>
      <c r="H12" s="1001"/>
      <c r="I12" s="1002"/>
    </row>
    <row r="13" spans="2:16" ht="15.75" thickBot="1" x14ac:dyDescent="0.3">
      <c r="B13" s="1003"/>
      <c r="C13" s="1004"/>
      <c r="D13" s="1004"/>
      <c r="E13" s="1004"/>
      <c r="F13" s="1004"/>
      <c r="G13" s="1004"/>
      <c r="H13" s="1004"/>
      <c r="I13" s="1005"/>
    </row>
    <row r="14" spans="2:16" x14ac:dyDescent="0.25">
      <c r="B14" s="1006" t="s">
        <v>564</v>
      </c>
      <c r="C14" s="1007"/>
      <c r="D14" s="1010" t="s">
        <v>565</v>
      </c>
      <c r="E14" s="1011"/>
      <c r="F14" s="1010" t="s">
        <v>566</v>
      </c>
      <c r="G14" s="1011"/>
      <c r="H14" s="1010" t="s">
        <v>567</v>
      </c>
      <c r="I14" s="1011"/>
    </row>
    <row r="15" spans="2:16" ht="15.75" thickBot="1" x14ac:dyDescent="0.3">
      <c r="B15" s="1008"/>
      <c r="C15" s="1009"/>
      <c r="D15" s="1012"/>
      <c r="E15" s="1013"/>
      <c r="F15" s="1012"/>
      <c r="G15" s="1013"/>
      <c r="H15" s="1012"/>
      <c r="I15" s="1013"/>
    </row>
    <row r="16" spans="2:16" ht="15.75" x14ac:dyDescent="0.25">
      <c r="B16" s="994" t="s">
        <v>623</v>
      </c>
      <c r="C16" s="995"/>
      <c r="D16" s="994" t="s">
        <v>624</v>
      </c>
      <c r="E16" s="995"/>
      <c r="F16" s="994" t="s">
        <v>568</v>
      </c>
      <c r="G16" s="995"/>
      <c r="H16" s="994" t="s">
        <v>619</v>
      </c>
      <c r="I16" s="995"/>
      <c r="P16" s="254"/>
    </row>
    <row r="17" spans="2:9" x14ac:dyDescent="0.25">
      <c r="B17" s="996"/>
      <c r="C17" s="997"/>
      <c r="D17" s="996"/>
      <c r="E17" s="997"/>
      <c r="F17" s="996"/>
      <c r="G17" s="997"/>
      <c r="H17" s="996"/>
      <c r="I17" s="997"/>
    </row>
    <row r="18" spans="2:9" x14ac:dyDescent="0.25">
      <c r="B18" s="996"/>
      <c r="C18" s="997"/>
      <c r="D18" s="996"/>
      <c r="E18" s="997"/>
      <c r="F18" s="996"/>
      <c r="G18" s="997"/>
      <c r="H18" s="996"/>
      <c r="I18" s="997"/>
    </row>
    <row r="19" spans="2:9" x14ac:dyDescent="0.25">
      <c r="B19" s="996"/>
      <c r="C19" s="997"/>
      <c r="D19" s="996"/>
      <c r="E19" s="997"/>
      <c r="F19" s="996"/>
      <c r="G19" s="997"/>
      <c r="H19" s="996"/>
      <c r="I19" s="997"/>
    </row>
    <row r="20" spans="2:9" x14ac:dyDescent="0.25">
      <c r="B20" s="996"/>
      <c r="C20" s="997"/>
      <c r="D20" s="996"/>
      <c r="E20" s="997"/>
      <c r="F20" s="996"/>
      <c r="G20" s="997"/>
      <c r="H20" s="996"/>
      <c r="I20" s="997"/>
    </row>
    <row r="21" spans="2:9" x14ac:dyDescent="0.25">
      <c r="B21" s="996"/>
      <c r="C21" s="997"/>
      <c r="D21" s="996"/>
      <c r="E21" s="997"/>
      <c r="F21" s="996"/>
      <c r="G21" s="997"/>
      <c r="H21" s="996"/>
      <c r="I21" s="997"/>
    </row>
    <row r="22" spans="2:9" x14ac:dyDescent="0.25">
      <c r="B22" s="996"/>
      <c r="C22" s="997"/>
      <c r="D22" s="996"/>
      <c r="E22" s="997"/>
      <c r="F22" s="996"/>
      <c r="G22" s="997"/>
      <c r="H22" s="996"/>
      <c r="I22" s="997"/>
    </row>
    <row r="23" spans="2:9" x14ac:dyDescent="0.25">
      <c r="B23" s="996"/>
      <c r="C23" s="997"/>
      <c r="D23" s="996"/>
      <c r="E23" s="997"/>
      <c r="F23" s="996"/>
      <c r="G23" s="997"/>
      <c r="H23" s="996"/>
      <c r="I23" s="997"/>
    </row>
    <row r="24" spans="2:9" x14ac:dyDescent="0.25">
      <c r="B24" s="996"/>
      <c r="C24" s="997"/>
      <c r="D24" s="996"/>
      <c r="E24" s="997"/>
      <c r="F24" s="996"/>
      <c r="G24" s="997"/>
      <c r="H24" s="996"/>
      <c r="I24" s="997"/>
    </row>
    <row r="25" spans="2:9" x14ac:dyDescent="0.25">
      <c r="B25" s="996"/>
      <c r="C25" s="997"/>
      <c r="D25" s="996"/>
      <c r="E25" s="997"/>
      <c r="F25" s="996"/>
      <c r="G25" s="997"/>
      <c r="H25" s="996"/>
      <c r="I25" s="997"/>
    </row>
    <row r="26" spans="2:9" x14ac:dyDescent="0.25">
      <c r="B26" s="996"/>
      <c r="C26" s="997"/>
      <c r="D26" s="996"/>
      <c r="E26" s="997"/>
      <c r="F26" s="996"/>
      <c r="G26" s="997"/>
      <c r="H26" s="996"/>
      <c r="I26" s="997"/>
    </row>
    <row r="27" spans="2:9" x14ac:dyDescent="0.25">
      <c r="B27" s="996"/>
      <c r="C27" s="997"/>
      <c r="D27" s="996"/>
      <c r="E27" s="997"/>
      <c r="F27" s="996"/>
      <c r="G27" s="997"/>
      <c r="H27" s="996"/>
      <c r="I27" s="997"/>
    </row>
    <row r="28" spans="2:9" x14ac:dyDescent="0.25">
      <c r="B28" s="996"/>
      <c r="C28" s="997"/>
      <c r="D28" s="996"/>
      <c r="E28" s="997"/>
      <c r="F28" s="996"/>
      <c r="G28" s="997"/>
      <c r="H28" s="996"/>
      <c r="I28" s="997"/>
    </row>
    <row r="29" spans="2:9" x14ac:dyDescent="0.25">
      <c r="B29" s="996"/>
      <c r="C29" s="997"/>
      <c r="D29" s="996"/>
      <c r="E29" s="997"/>
      <c r="F29" s="996"/>
      <c r="G29" s="997"/>
      <c r="H29" s="996"/>
      <c r="I29" s="997"/>
    </row>
    <row r="30" spans="2:9" x14ac:dyDescent="0.25">
      <c r="B30" s="996"/>
      <c r="C30" s="997"/>
      <c r="D30" s="996"/>
      <c r="E30" s="997"/>
      <c r="F30" s="996"/>
      <c r="G30" s="997"/>
      <c r="H30" s="996"/>
      <c r="I30" s="997"/>
    </row>
    <row r="31" spans="2:9" x14ac:dyDescent="0.25">
      <c r="B31" s="996"/>
      <c r="C31" s="997"/>
      <c r="D31" s="996"/>
      <c r="E31" s="997"/>
      <c r="F31" s="996"/>
      <c r="G31" s="997"/>
      <c r="H31" s="996"/>
      <c r="I31" s="997"/>
    </row>
    <row r="32" spans="2:9" ht="15.75" thickBot="1" x14ac:dyDescent="0.3">
      <c r="B32" s="998"/>
      <c r="C32" s="999"/>
      <c r="D32" s="998"/>
      <c r="E32" s="999"/>
      <c r="F32" s="998"/>
      <c r="G32" s="999"/>
      <c r="H32" s="998"/>
      <c r="I32" s="999"/>
    </row>
    <row r="34" spans="18:18" x14ac:dyDescent="0.25">
      <c r="R34" s="253"/>
    </row>
  </sheetData>
  <mergeCells count="12">
    <mergeCell ref="B3:F3"/>
    <mergeCell ref="B5:I10"/>
    <mergeCell ref="B11:I11"/>
    <mergeCell ref="B16:C32"/>
    <mergeCell ref="D16:E32"/>
    <mergeCell ref="F16:G32"/>
    <mergeCell ref="H16:I32"/>
    <mergeCell ref="B12:I13"/>
    <mergeCell ref="B14:C15"/>
    <mergeCell ref="D14:E15"/>
    <mergeCell ref="F14:G15"/>
    <mergeCell ref="H14:I1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B1:N21"/>
  <sheetViews>
    <sheetView workbookViewId="0">
      <selection activeCell="I16" sqref="I15:I16"/>
    </sheetView>
  </sheetViews>
  <sheetFormatPr baseColWidth="10" defaultRowHeight="15" x14ac:dyDescent="0.25"/>
  <cols>
    <col min="4" max="4" width="29.5703125" customWidth="1"/>
    <col min="5" max="5" width="24.140625" customWidth="1"/>
    <col min="6" max="6" width="15.42578125" customWidth="1"/>
    <col min="7" max="7" width="17.7109375" customWidth="1"/>
    <col min="8" max="8" width="17.5703125" customWidth="1"/>
    <col min="9" max="9" width="17.7109375" customWidth="1"/>
    <col min="10" max="11" width="18.140625" customWidth="1"/>
    <col min="12" max="12" width="17.28515625" customWidth="1"/>
    <col min="13" max="13" width="19" customWidth="1"/>
    <col min="14" max="14" width="60.85546875" customWidth="1"/>
  </cols>
  <sheetData>
    <row r="1" spans="2:14" s="252" customFormat="1" x14ac:dyDescent="0.25"/>
    <row r="2" spans="2:14" s="252" customFormat="1" ht="21" x14ac:dyDescent="0.35">
      <c r="C2" s="1015" t="s">
        <v>955</v>
      </c>
      <c r="D2" s="1016"/>
      <c r="E2" s="1016"/>
      <c r="F2" s="1016"/>
      <c r="G2" s="1016"/>
      <c r="H2" s="1016"/>
      <c r="I2" s="1016"/>
      <c r="J2" s="1016"/>
      <c r="K2" s="1016"/>
      <c r="L2" s="1016"/>
    </row>
    <row r="4" spans="2:14" ht="15.75" x14ac:dyDescent="0.25">
      <c r="B4" s="1014" t="s">
        <v>893</v>
      </c>
      <c r="C4" s="1014"/>
      <c r="D4" s="1014"/>
      <c r="E4" s="1014"/>
      <c r="F4" s="1014"/>
      <c r="G4" s="1014"/>
      <c r="H4" s="1014"/>
      <c r="I4" s="1014"/>
      <c r="J4" s="1014"/>
      <c r="K4" s="1014"/>
      <c r="L4" s="1014"/>
      <c r="M4" s="1014"/>
      <c r="N4" s="1014"/>
    </row>
    <row r="5" spans="2:14" ht="15.75" x14ac:dyDescent="0.25">
      <c r="B5" s="297" t="s">
        <v>894</v>
      </c>
      <c r="C5" s="297" t="s">
        <v>895</v>
      </c>
      <c r="D5" s="297" t="s">
        <v>140</v>
      </c>
      <c r="E5" s="297" t="s">
        <v>896</v>
      </c>
      <c r="F5" s="297" t="s">
        <v>22</v>
      </c>
      <c r="G5" s="297" t="s">
        <v>897</v>
      </c>
      <c r="H5" s="297" t="s">
        <v>898</v>
      </c>
      <c r="I5" s="297" t="s">
        <v>899</v>
      </c>
      <c r="J5" s="297" t="s">
        <v>900</v>
      </c>
      <c r="K5" s="297" t="s">
        <v>901</v>
      </c>
      <c r="L5" s="297" t="s">
        <v>902</v>
      </c>
      <c r="M5" s="297" t="s">
        <v>903</v>
      </c>
      <c r="N5" s="298" t="s">
        <v>904</v>
      </c>
    </row>
    <row r="6" spans="2:14" x14ac:dyDescent="0.25">
      <c r="B6" s="289"/>
      <c r="C6" s="290"/>
      <c r="D6" s="291"/>
      <c r="E6" s="290"/>
      <c r="F6" s="290"/>
      <c r="G6" s="290"/>
      <c r="H6" s="292"/>
      <c r="I6" s="292"/>
      <c r="J6" s="291"/>
      <c r="K6" s="291"/>
      <c r="L6" s="291"/>
      <c r="M6" s="291"/>
      <c r="N6" s="293"/>
    </row>
    <row r="7" spans="2:14" x14ac:dyDescent="0.25">
      <c r="B7" s="289"/>
      <c r="C7" s="290"/>
      <c r="D7" s="291"/>
      <c r="E7" s="290"/>
      <c r="F7" s="290"/>
      <c r="G7" s="290"/>
      <c r="H7" s="292"/>
      <c r="I7" s="292"/>
      <c r="J7" s="291"/>
      <c r="K7" s="291"/>
      <c r="L7" s="291"/>
      <c r="M7" s="291"/>
      <c r="N7" s="293"/>
    </row>
    <row r="8" spans="2:14" x14ac:dyDescent="0.25">
      <c r="B8" s="289"/>
      <c r="C8" s="290"/>
      <c r="D8" s="291"/>
      <c r="E8" s="290"/>
      <c r="F8" s="290"/>
      <c r="G8" s="290"/>
      <c r="H8" s="292"/>
      <c r="I8" s="292"/>
      <c r="J8" s="291"/>
      <c r="K8" s="291"/>
      <c r="L8" s="291"/>
      <c r="M8" s="291"/>
      <c r="N8" s="293"/>
    </row>
    <row r="9" spans="2:14" x14ac:dyDescent="0.25">
      <c r="B9" s="289"/>
      <c r="C9" s="290"/>
      <c r="D9" s="291"/>
      <c r="E9" s="290"/>
      <c r="F9" s="290"/>
      <c r="G9" s="290"/>
      <c r="H9" s="291"/>
      <c r="I9" s="291"/>
      <c r="J9" s="291"/>
      <c r="K9" s="291"/>
      <c r="L9" s="291"/>
      <c r="M9" s="291"/>
      <c r="N9" s="293"/>
    </row>
    <row r="10" spans="2:14" x14ac:dyDescent="0.25">
      <c r="B10" s="289"/>
      <c r="C10" s="290"/>
      <c r="D10" s="291"/>
      <c r="E10" s="291"/>
      <c r="F10" s="290"/>
      <c r="G10" s="291"/>
      <c r="H10" s="291"/>
      <c r="I10" s="291"/>
      <c r="J10" s="291"/>
      <c r="K10" s="291"/>
      <c r="L10" s="291"/>
      <c r="M10" s="291"/>
      <c r="N10" s="293"/>
    </row>
    <row r="11" spans="2:14" x14ac:dyDescent="0.25">
      <c r="B11" s="289"/>
      <c r="C11" s="290"/>
      <c r="D11" s="291"/>
      <c r="E11" s="290"/>
      <c r="F11" s="290"/>
      <c r="G11" s="290"/>
      <c r="H11" s="292"/>
      <c r="I11" s="292"/>
      <c r="J11" s="291"/>
      <c r="K11" s="291"/>
      <c r="L11" s="291"/>
      <c r="M11" s="291"/>
      <c r="N11" s="293"/>
    </row>
    <row r="12" spans="2:14" x14ac:dyDescent="0.25">
      <c r="B12" s="289"/>
      <c r="C12" s="290"/>
      <c r="D12" s="294"/>
      <c r="E12" s="290"/>
      <c r="F12" s="290"/>
      <c r="G12" s="290"/>
      <c r="H12" s="292"/>
      <c r="I12" s="292"/>
      <c r="J12" s="291"/>
      <c r="K12" s="291"/>
      <c r="L12" s="291"/>
      <c r="M12" s="291"/>
      <c r="N12" s="293"/>
    </row>
    <row r="13" spans="2:14" x14ac:dyDescent="0.25">
      <c r="B13" s="289"/>
      <c r="C13" s="290"/>
      <c r="D13" s="291"/>
      <c r="E13" s="290"/>
      <c r="F13" s="290"/>
      <c r="G13" s="290"/>
      <c r="H13" s="292"/>
      <c r="I13" s="292"/>
      <c r="J13" s="291"/>
      <c r="K13" s="291"/>
      <c r="L13" s="291"/>
      <c r="M13" s="291"/>
      <c r="N13" s="293"/>
    </row>
    <row r="14" spans="2:14" x14ac:dyDescent="0.25">
      <c r="B14" s="289"/>
      <c r="C14" s="290"/>
      <c r="D14" s="291"/>
      <c r="E14" s="291"/>
      <c r="F14" s="295"/>
      <c r="G14" s="291"/>
      <c r="H14" s="291"/>
      <c r="I14" s="291"/>
      <c r="J14" s="291"/>
      <c r="K14" s="291"/>
      <c r="L14" s="291"/>
      <c r="M14" s="291"/>
      <c r="N14" s="293"/>
    </row>
    <row r="15" spans="2:14" x14ac:dyDescent="0.25">
      <c r="B15" s="289"/>
      <c r="C15" s="290"/>
      <c r="D15" s="291"/>
      <c r="E15" s="291"/>
      <c r="F15" s="295"/>
      <c r="G15" s="291"/>
      <c r="H15" s="291"/>
      <c r="I15" s="291"/>
      <c r="J15" s="291"/>
      <c r="K15" s="291"/>
      <c r="L15" s="291"/>
      <c r="M15" s="291"/>
      <c r="N15" s="293"/>
    </row>
    <row r="16" spans="2:14" x14ac:dyDescent="0.25">
      <c r="B16" s="289"/>
      <c r="C16" s="290"/>
      <c r="D16" s="291"/>
      <c r="E16" s="290"/>
      <c r="F16" s="290"/>
      <c r="G16" s="290"/>
      <c r="H16" s="292"/>
      <c r="I16" s="292"/>
      <c r="J16" s="291"/>
      <c r="K16" s="291"/>
      <c r="L16" s="291"/>
      <c r="M16" s="291"/>
      <c r="N16" s="293"/>
    </row>
    <row r="17" spans="2:14" x14ac:dyDescent="0.25">
      <c r="B17" s="289"/>
      <c r="C17" s="290"/>
      <c r="D17" s="294"/>
      <c r="E17" s="290"/>
      <c r="F17" s="290"/>
      <c r="G17" s="290"/>
      <c r="H17" s="292"/>
      <c r="I17" s="292"/>
      <c r="J17" s="291"/>
      <c r="K17" s="291"/>
      <c r="L17" s="291"/>
      <c r="M17" s="291"/>
      <c r="N17" s="293"/>
    </row>
    <row r="18" spans="2:14" x14ac:dyDescent="0.25">
      <c r="B18" s="289"/>
      <c r="C18" s="290"/>
      <c r="D18" s="294"/>
      <c r="E18" s="290"/>
      <c r="F18" s="290"/>
      <c r="G18" s="290"/>
      <c r="H18" s="292"/>
      <c r="I18" s="292"/>
      <c r="J18" s="291"/>
      <c r="K18" s="291"/>
      <c r="L18" s="291"/>
      <c r="M18" s="291"/>
      <c r="N18" s="293"/>
    </row>
    <row r="19" spans="2:14" x14ac:dyDescent="0.25">
      <c r="B19" s="289"/>
      <c r="C19" s="290"/>
      <c r="D19" s="291"/>
      <c r="E19" s="291"/>
      <c r="F19" s="291"/>
      <c r="G19" s="291"/>
      <c r="H19" s="291"/>
      <c r="I19" s="291"/>
      <c r="J19" s="291"/>
      <c r="K19" s="291"/>
      <c r="L19" s="291"/>
      <c r="M19" s="291"/>
      <c r="N19" s="293"/>
    </row>
    <row r="20" spans="2:14" x14ac:dyDescent="0.25">
      <c r="B20" s="289"/>
      <c r="C20" s="290"/>
      <c r="D20" s="291"/>
      <c r="E20" s="291"/>
      <c r="F20" s="291"/>
      <c r="G20" s="291"/>
      <c r="H20" s="291"/>
      <c r="I20" s="291"/>
      <c r="J20" s="291"/>
      <c r="K20" s="291"/>
      <c r="L20" s="291"/>
      <c r="M20" s="291"/>
      <c r="N20" s="293"/>
    </row>
    <row r="21" spans="2:14" ht="18" x14ac:dyDescent="0.25">
      <c r="B21" s="289"/>
      <c r="C21" s="290"/>
      <c r="D21" s="294"/>
      <c r="E21" s="290"/>
      <c r="F21" s="290"/>
      <c r="G21" s="290"/>
      <c r="H21" s="296"/>
      <c r="I21" s="296"/>
      <c r="J21" s="291"/>
      <c r="K21" s="291"/>
      <c r="L21" s="291"/>
      <c r="M21" s="291"/>
      <c r="N21" s="293"/>
    </row>
  </sheetData>
  <mergeCells count="2">
    <mergeCell ref="B4:N4"/>
    <mergeCell ref="C2:L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002060"/>
  </sheetPr>
  <dimension ref="A1:CC211"/>
  <sheetViews>
    <sheetView tabSelected="1" zoomScale="48" zoomScaleNormal="50" workbookViewId="0">
      <pane ySplit="8" topLeftCell="A182" activePane="bottomLeft" state="frozen"/>
      <selection activeCell="J21" sqref="J21"/>
      <selection pane="bottomLeft" activeCell="F9" sqref="F9"/>
    </sheetView>
  </sheetViews>
  <sheetFormatPr baseColWidth="10" defaultRowHeight="12.75" x14ac:dyDescent="0.2"/>
  <cols>
    <col min="1" max="1" width="11.42578125" style="134"/>
    <col min="2" max="2" width="9.5703125" style="64" customWidth="1"/>
    <col min="3" max="3" width="21.85546875" style="64" customWidth="1"/>
    <col min="4" max="4" width="37" style="64" customWidth="1"/>
    <col min="5" max="5" width="7.85546875" style="67" customWidth="1"/>
    <col min="6" max="6" width="36" style="67" customWidth="1"/>
    <col min="7" max="7" width="32.85546875" style="67" customWidth="1"/>
    <col min="8" max="8" width="24.140625" style="102" customWidth="1"/>
    <col min="9" max="9" width="25" style="67" customWidth="1"/>
    <col min="10" max="10" width="17.5703125" style="68" customWidth="1"/>
    <col min="11" max="11" width="16.42578125" style="67" customWidth="1"/>
    <col min="12" max="12" width="18" style="134" customWidth="1"/>
    <col min="13" max="13" width="16.5703125" style="134" customWidth="1"/>
    <col min="14" max="14" width="9.28515625" style="134" customWidth="1"/>
    <col min="15" max="15" width="19.28515625" style="134" customWidth="1"/>
    <col min="16" max="16" width="18.42578125" style="134" customWidth="1"/>
    <col min="17" max="17" width="9.140625" style="134" customWidth="1"/>
    <col min="18" max="18" width="14.85546875" style="68" customWidth="1"/>
    <col min="19" max="19" width="5.85546875" style="134" customWidth="1"/>
    <col min="20" max="20" width="36.85546875" style="67" customWidth="1"/>
    <col min="21" max="21" width="18.28515625" style="134" customWidth="1"/>
    <col min="22" max="22" width="6.85546875" style="134" customWidth="1"/>
    <col min="23" max="23" width="5" style="134" customWidth="1"/>
    <col min="24" max="24" width="5.5703125" style="134" customWidth="1"/>
    <col min="25" max="25" width="9.42578125" style="134" customWidth="1"/>
    <col min="26" max="26" width="13.5703125" style="134" customWidth="1"/>
    <col min="27" max="27" width="7.5703125" style="134" customWidth="1"/>
    <col min="28" max="28" width="25.28515625" style="134" customWidth="1"/>
    <col min="29" max="29" width="32.5703125" style="134" customWidth="1"/>
    <col min="30" max="30" width="7.42578125" style="134" customWidth="1"/>
    <col min="31" max="31" width="7" style="134" customWidth="1"/>
    <col min="32" max="32" width="6.42578125" style="134" customWidth="1"/>
    <col min="33" max="33" width="6.5703125" style="134" customWidth="1"/>
    <col min="34" max="34" width="6.140625" style="134" customWidth="1"/>
    <col min="35" max="35" width="8.42578125" style="134" customWidth="1"/>
    <col min="36" max="36" width="10.85546875" style="134" customWidth="1"/>
    <col min="37" max="37" width="8.42578125" style="68" customWidth="1"/>
    <col min="38" max="80" width="11.42578125" style="234"/>
    <col min="81" max="16384" width="11.42578125" style="64"/>
  </cols>
  <sheetData>
    <row r="1" spans="1:80" s="183" customFormat="1" ht="23.25" customHeight="1" x14ac:dyDescent="0.2">
      <c r="A1" s="824" t="s">
        <v>212</v>
      </c>
      <c r="B1" s="825"/>
      <c r="C1" s="825"/>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825"/>
      <c r="AF1" s="825"/>
      <c r="AG1" s="825"/>
      <c r="AH1" s="825"/>
      <c r="AI1" s="825"/>
      <c r="AJ1" s="825"/>
      <c r="AK1" s="826"/>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c r="BM1" s="234"/>
      <c r="BN1" s="234"/>
      <c r="BO1" s="234"/>
      <c r="BP1" s="234"/>
      <c r="BQ1" s="234"/>
      <c r="BR1" s="234"/>
      <c r="BS1" s="234"/>
      <c r="BT1" s="234"/>
      <c r="BU1" s="234"/>
      <c r="BV1" s="234"/>
      <c r="BW1" s="234"/>
      <c r="BX1" s="234"/>
      <c r="BY1" s="234"/>
      <c r="BZ1" s="234"/>
      <c r="CA1" s="234"/>
      <c r="CB1" s="234"/>
    </row>
    <row r="2" spans="1:80" s="134" customFormat="1" ht="21.75" customHeight="1" x14ac:dyDescent="0.2">
      <c r="A2" s="827"/>
      <c r="B2" s="828"/>
      <c r="C2" s="828"/>
      <c r="D2" s="829"/>
      <c r="E2" s="827" t="s">
        <v>611</v>
      </c>
      <c r="F2" s="828"/>
      <c r="G2" s="828"/>
      <c r="H2" s="828"/>
      <c r="I2" s="828"/>
      <c r="J2" s="828"/>
      <c r="K2" s="828"/>
      <c r="L2" s="828"/>
      <c r="M2" s="828"/>
      <c r="N2" s="828"/>
      <c r="O2" s="828"/>
      <c r="P2" s="828"/>
      <c r="Q2" s="828"/>
      <c r="R2" s="828"/>
      <c r="S2" s="828"/>
      <c r="T2" s="828"/>
      <c r="U2" s="828"/>
      <c r="V2" s="828"/>
      <c r="W2" s="828"/>
      <c r="X2" s="828"/>
      <c r="Y2" s="828"/>
      <c r="Z2" s="828"/>
      <c r="AA2" s="828"/>
      <c r="AB2" s="828"/>
      <c r="AC2" s="829"/>
      <c r="AD2" s="528" t="s">
        <v>562</v>
      </c>
      <c r="AE2" s="529"/>
      <c r="AF2" s="530"/>
      <c r="AG2" s="522" t="s">
        <v>561</v>
      </c>
      <c r="AH2" s="523"/>
      <c r="AI2" s="523"/>
      <c r="AJ2" s="523"/>
      <c r="AK2" s="524"/>
      <c r="AL2" s="234"/>
      <c r="AM2" s="234"/>
      <c r="AN2" s="234"/>
      <c r="AO2" s="234"/>
      <c r="AP2" s="234"/>
      <c r="AQ2" s="234"/>
      <c r="AR2" s="234"/>
      <c r="AS2" s="234"/>
      <c r="AT2" s="234"/>
      <c r="AU2" s="234"/>
      <c r="AV2" s="234"/>
      <c r="AW2" s="234"/>
      <c r="AX2" s="234"/>
      <c r="AY2" s="234"/>
      <c r="AZ2" s="234"/>
      <c r="BA2" s="234"/>
      <c r="BB2" s="234"/>
      <c r="BC2" s="234"/>
      <c r="BD2" s="234"/>
      <c r="BE2" s="234"/>
      <c r="BF2" s="234"/>
      <c r="BG2" s="234"/>
      <c r="BH2" s="234"/>
      <c r="BI2" s="234"/>
      <c r="BJ2" s="234"/>
      <c r="BK2" s="234"/>
      <c r="BL2" s="234"/>
      <c r="BM2" s="234"/>
      <c r="BN2" s="234"/>
      <c r="BO2" s="234"/>
      <c r="BP2" s="234"/>
      <c r="BQ2" s="234"/>
      <c r="BR2" s="234"/>
      <c r="BS2" s="234"/>
      <c r="BT2" s="234"/>
      <c r="BU2" s="234"/>
      <c r="BV2" s="234"/>
      <c r="BW2" s="234"/>
      <c r="BX2" s="234"/>
      <c r="BY2" s="234"/>
      <c r="BZ2" s="234"/>
      <c r="CA2" s="234"/>
      <c r="CB2" s="234"/>
    </row>
    <row r="3" spans="1:80" s="134" customFormat="1" ht="24" customHeight="1" x14ac:dyDescent="0.2">
      <c r="A3" s="830"/>
      <c r="B3" s="831"/>
      <c r="C3" s="831"/>
      <c r="D3" s="832"/>
      <c r="E3" s="830"/>
      <c r="F3" s="831"/>
      <c r="G3" s="831"/>
      <c r="H3" s="831"/>
      <c r="I3" s="831"/>
      <c r="J3" s="831"/>
      <c r="K3" s="831"/>
      <c r="L3" s="831"/>
      <c r="M3" s="831"/>
      <c r="N3" s="831"/>
      <c r="O3" s="831"/>
      <c r="P3" s="831"/>
      <c r="Q3" s="831"/>
      <c r="R3" s="831"/>
      <c r="S3" s="831"/>
      <c r="T3" s="831"/>
      <c r="U3" s="831"/>
      <c r="V3" s="831"/>
      <c r="W3" s="831"/>
      <c r="X3" s="831"/>
      <c r="Y3" s="831"/>
      <c r="Z3" s="831"/>
      <c r="AA3" s="831"/>
      <c r="AB3" s="831"/>
      <c r="AC3" s="832"/>
      <c r="AD3" s="528" t="s">
        <v>559</v>
      </c>
      <c r="AE3" s="529"/>
      <c r="AF3" s="530"/>
      <c r="AG3" s="522">
        <v>3</v>
      </c>
      <c r="AH3" s="523"/>
      <c r="AI3" s="523"/>
      <c r="AJ3" s="523"/>
      <c r="AK3" s="524"/>
      <c r="AL3" s="234"/>
      <c r="AM3" s="234"/>
      <c r="AN3" s="234"/>
      <c r="AO3" s="234"/>
      <c r="AP3" s="234"/>
      <c r="AQ3" s="234"/>
      <c r="AR3" s="234"/>
      <c r="AS3" s="234"/>
      <c r="AT3" s="234"/>
      <c r="AU3" s="234"/>
      <c r="AV3" s="234"/>
      <c r="AW3" s="234"/>
      <c r="AX3" s="234"/>
      <c r="AY3" s="234"/>
      <c r="AZ3" s="234"/>
      <c r="BA3" s="234"/>
      <c r="BB3" s="234"/>
      <c r="BC3" s="234"/>
      <c r="BD3" s="234"/>
      <c r="BE3" s="234"/>
      <c r="BF3" s="234"/>
      <c r="BG3" s="234"/>
      <c r="BH3" s="234"/>
      <c r="BI3" s="234"/>
      <c r="BJ3" s="234"/>
      <c r="BK3" s="234"/>
      <c r="BL3" s="234"/>
      <c r="BM3" s="234"/>
      <c r="BN3" s="234"/>
      <c r="BO3" s="234"/>
      <c r="BP3" s="234"/>
      <c r="BQ3" s="234"/>
      <c r="BR3" s="234"/>
      <c r="BS3" s="234"/>
      <c r="BT3" s="234"/>
      <c r="BU3" s="234"/>
      <c r="BV3" s="234"/>
      <c r="BW3" s="234"/>
      <c r="BX3" s="234"/>
      <c r="BY3" s="234"/>
      <c r="BZ3" s="234"/>
      <c r="CA3" s="234"/>
      <c r="CB3" s="234"/>
    </row>
    <row r="4" spans="1:80" s="233" customFormat="1" ht="15.75" customHeight="1" x14ac:dyDescent="0.25">
      <c r="A4" s="830"/>
      <c r="B4" s="831"/>
      <c r="C4" s="831"/>
      <c r="D4" s="832"/>
      <c r="E4" s="1017"/>
      <c r="F4" s="1018"/>
      <c r="G4" s="1018"/>
      <c r="H4" s="1018"/>
      <c r="I4" s="1018"/>
      <c r="J4" s="1018"/>
      <c r="K4" s="1018"/>
      <c r="L4" s="1018"/>
      <c r="M4" s="1018"/>
      <c r="N4" s="1018"/>
      <c r="O4" s="1018"/>
      <c r="P4" s="1018"/>
      <c r="Q4" s="1018"/>
      <c r="R4" s="1018"/>
      <c r="S4" s="1018"/>
      <c r="T4" s="1018"/>
      <c r="U4" s="1018"/>
      <c r="V4" s="1018"/>
      <c r="W4" s="1018"/>
      <c r="X4" s="1018"/>
      <c r="Y4" s="1018"/>
      <c r="Z4" s="1018"/>
      <c r="AA4" s="1018"/>
      <c r="AB4" s="1018"/>
      <c r="AC4" s="1019"/>
      <c r="AD4" s="531" t="s">
        <v>560</v>
      </c>
      <c r="AE4" s="532"/>
      <c r="AF4" s="533"/>
      <c r="AG4" s="525">
        <v>45834</v>
      </c>
      <c r="AH4" s="526"/>
      <c r="AI4" s="526"/>
      <c r="AJ4" s="526"/>
      <c r="AK4" s="52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c r="BM4" s="237"/>
      <c r="BN4" s="237"/>
      <c r="BO4" s="237"/>
      <c r="BP4" s="237"/>
      <c r="BQ4" s="237"/>
      <c r="BR4" s="238"/>
      <c r="BS4" s="238"/>
      <c r="BT4" s="238"/>
      <c r="BU4" s="238"/>
      <c r="BV4" s="238"/>
      <c r="BW4" s="238"/>
      <c r="BX4" s="238"/>
      <c r="BY4" s="238"/>
      <c r="BZ4" s="238"/>
      <c r="CA4" s="238"/>
      <c r="CB4" s="238"/>
    </row>
    <row r="5" spans="1:80" s="183" customFormat="1" ht="9.75" customHeight="1" x14ac:dyDescent="0.2">
      <c r="A5" s="534"/>
      <c r="B5" s="535"/>
      <c r="C5" s="535"/>
      <c r="D5" s="535"/>
      <c r="E5" s="535"/>
      <c r="F5" s="535"/>
      <c r="G5" s="535"/>
      <c r="H5" s="535"/>
      <c r="I5" s="535"/>
      <c r="J5" s="535"/>
      <c r="K5" s="535"/>
      <c r="L5" s="535"/>
      <c r="M5" s="535"/>
      <c r="N5" s="535"/>
      <c r="O5" s="535"/>
      <c r="P5" s="535"/>
      <c r="Q5" s="535"/>
      <c r="R5" s="535"/>
      <c r="S5" s="535"/>
      <c r="T5" s="535"/>
      <c r="U5" s="535"/>
      <c r="V5" s="535"/>
      <c r="W5" s="535"/>
      <c r="X5" s="535"/>
      <c r="Y5" s="535"/>
      <c r="Z5" s="535"/>
      <c r="AA5" s="535"/>
      <c r="AB5" s="535"/>
      <c r="AC5" s="535"/>
      <c r="AD5" s="535"/>
      <c r="AE5" s="535"/>
      <c r="AF5" s="535"/>
      <c r="AG5" s="535"/>
      <c r="AH5" s="535"/>
      <c r="AI5" s="535"/>
      <c r="AJ5" s="535"/>
      <c r="AK5" s="536"/>
      <c r="AL5" s="234"/>
      <c r="AM5" s="234"/>
      <c r="AN5" s="234"/>
      <c r="AO5" s="234"/>
      <c r="AP5" s="234"/>
      <c r="AQ5" s="234"/>
      <c r="AR5" s="234"/>
      <c r="AS5" s="234"/>
      <c r="AT5" s="234"/>
      <c r="AU5" s="234"/>
      <c r="AV5" s="234"/>
      <c r="AW5" s="234"/>
      <c r="AX5" s="234"/>
      <c r="AY5" s="234"/>
      <c r="AZ5" s="234"/>
      <c r="BA5" s="234"/>
      <c r="BB5" s="234"/>
      <c r="BC5" s="234"/>
      <c r="BD5" s="234"/>
      <c r="BE5" s="234"/>
      <c r="BF5" s="234"/>
      <c r="BG5" s="234"/>
      <c r="BH5" s="234"/>
      <c r="BI5" s="234"/>
      <c r="BJ5" s="234"/>
      <c r="BK5" s="234"/>
      <c r="BL5" s="234"/>
      <c r="BM5" s="234"/>
      <c r="BN5" s="234"/>
      <c r="BO5" s="234"/>
      <c r="BP5" s="234"/>
      <c r="BQ5" s="234"/>
      <c r="BR5" s="234"/>
      <c r="BS5" s="234"/>
      <c r="BT5" s="234"/>
      <c r="BU5" s="234"/>
      <c r="BV5" s="234"/>
      <c r="BW5" s="234"/>
      <c r="BX5" s="234"/>
      <c r="BY5" s="234"/>
      <c r="BZ5" s="234"/>
      <c r="CA5" s="234"/>
      <c r="CB5" s="234"/>
    </row>
    <row r="6" spans="1:80" s="186" customFormat="1" ht="15" customHeight="1" x14ac:dyDescent="0.2">
      <c r="A6" s="401"/>
      <c r="B6" s="776" t="s">
        <v>199</v>
      </c>
      <c r="C6" s="777"/>
      <c r="D6" s="778"/>
      <c r="E6" s="840" t="s">
        <v>122</v>
      </c>
      <c r="F6" s="841"/>
      <c r="G6" s="196"/>
      <c r="H6" s="196"/>
      <c r="I6" s="196"/>
      <c r="J6" s="196"/>
      <c r="K6" s="197"/>
      <c r="L6" s="402" t="s">
        <v>123</v>
      </c>
      <c r="M6" s="400"/>
      <c r="N6" s="400"/>
      <c r="O6" s="400"/>
      <c r="P6" s="400"/>
      <c r="Q6" s="400"/>
      <c r="R6" s="197"/>
      <c r="S6" s="402" t="s">
        <v>124</v>
      </c>
      <c r="T6" s="400"/>
      <c r="U6" s="400"/>
      <c r="V6" s="403"/>
      <c r="W6" s="403"/>
      <c r="X6" s="403"/>
      <c r="Y6" s="403"/>
      <c r="Z6" s="403"/>
      <c r="AA6" s="403"/>
      <c r="AB6" s="404" t="s">
        <v>498</v>
      </c>
      <c r="AC6" s="405" t="s">
        <v>501</v>
      </c>
      <c r="AD6" s="833" t="s">
        <v>125</v>
      </c>
      <c r="AE6" s="833"/>
      <c r="AF6" s="833"/>
      <c r="AG6" s="833"/>
      <c r="AH6" s="833"/>
      <c r="AI6" s="833"/>
      <c r="AJ6" s="833"/>
      <c r="AK6" s="834"/>
      <c r="AL6" s="234"/>
      <c r="AM6" s="234"/>
      <c r="AN6" s="234"/>
      <c r="AO6" s="234"/>
      <c r="AP6" s="234"/>
      <c r="AQ6" s="234"/>
      <c r="AR6" s="234"/>
      <c r="AS6" s="234"/>
      <c r="AT6" s="234"/>
      <c r="AU6" s="234"/>
      <c r="AV6" s="234"/>
      <c r="AW6" s="234"/>
      <c r="AX6" s="234"/>
      <c r="AY6" s="234"/>
      <c r="AZ6" s="234"/>
      <c r="BA6" s="234"/>
      <c r="BB6" s="234"/>
      <c r="BC6" s="234"/>
      <c r="BD6" s="234"/>
      <c r="BE6" s="234"/>
      <c r="BF6" s="234"/>
      <c r="BG6" s="234"/>
      <c r="BH6" s="234"/>
      <c r="BI6" s="234"/>
      <c r="BJ6" s="234"/>
      <c r="BK6" s="234"/>
      <c r="BL6" s="234"/>
      <c r="BM6" s="234"/>
      <c r="BN6" s="234"/>
      <c r="BO6" s="234"/>
      <c r="BP6" s="234"/>
      <c r="BQ6" s="234"/>
      <c r="BR6" s="234"/>
      <c r="BS6" s="234"/>
      <c r="BT6" s="234"/>
      <c r="BU6" s="234"/>
      <c r="BV6" s="234"/>
      <c r="BW6" s="234"/>
      <c r="BX6" s="234"/>
      <c r="BY6" s="234"/>
      <c r="BZ6" s="234"/>
      <c r="CA6" s="234"/>
      <c r="CB6" s="234"/>
    </row>
    <row r="7" spans="1:80" s="184" customFormat="1" ht="14.25" customHeight="1" x14ac:dyDescent="0.2">
      <c r="A7" s="679" t="s">
        <v>530</v>
      </c>
      <c r="B7" s="792" t="s">
        <v>211</v>
      </c>
      <c r="C7" s="779" t="s">
        <v>171</v>
      </c>
      <c r="D7" s="779" t="s">
        <v>184</v>
      </c>
      <c r="E7" s="199"/>
      <c r="F7" s="821" t="s">
        <v>0</v>
      </c>
      <c r="G7" s="842" t="s">
        <v>191</v>
      </c>
      <c r="H7" s="819" t="s">
        <v>192</v>
      </c>
      <c r="I7" s="819" t="s">
        <v>205</v>
      </c>
      <c r="J7" s="819" t="s">
        <v>193</v>
      </c>
      <c r="K7" s="819" t="s">
        <v>194</v>
      </c>
      <c r="L7" s="821" t="s">
        <v>233</v>
      </c>
      <c r="M7" s="819" t="s">
        <v>28</v>
      </c>
      <c r="N7" s="842" t="s">
        <v>3</v>
      </c>
      <c r="O7" s="819" t="s">
        <v>74</v>
      </c>
      <c r="P7" s="819" t="s">
        <v>33</v>
      </c>
      <c r="Q7" s="842" t="s">
        <v>3</v>
      </c>
      <c r="R7" s="819" t="s">
        <v>36</v>
      </c>
      <c r="S7" s="845" t="s">
        <v>9</v>
      </c>
      <c r="T7" s="821" t="s">
        <v>140</v>
      </c>
      <c r="U7" s="850" t="s">
        <v>10</v>
      </c>
      <c r="V7" s="838" t="s">
        <v>6</v>
      </c>
      <c r="W7" s="839"/>
      <c r="X7" s="839"/>
      <c r="Y7" s="839"/>
      <c r="Z7" s="839"/>
      <c r="AA7" s="839"/>
      <c r="AB7" s="205" t="s">
        <v>499</v>
      </c>
      <c r="AC7" s="208" t="s">
        <v>500</v>
      </c>
      <c r="AD7" s="847" t="s">
        <v>121</v>
      </c>
      <c r="AE7" s="845" t="s">
        <v>34</v>
      </c>
      <c r="AF7" s="845" t="s">
        <v>3</v>
      </c>
      <c r="AG7" s="845" t="s">
        <v>35</v>
      </c>
      <c r="AH7" s="845" t="s">
        <v>3</v>
      </c>
      <c r="AI7" s="845" t="s">
        <v>37</v>
      </c>
      <c r="AJ7" s="817" t="s">
        <v>37</v>
      </c>
      <c r="AK7" s="679" t="s">
        <v>25</v>
      </c>
      <c r="AL7" s="234"/>
      <c r="AM7" s="234"/>
      <c r="AN7" s="234"/>
      <c r="AO7" s="234"/>
      <c r="AP7" s="234"/>
      <c r="AQ7" s="234"/>
      <c r="AR7" s="234"/>
      <c r="AS7" s="234"/>
      <c r="AT7" s="234"/>
      <c r="AU7" s="234"/>
      <c r="AV7" s="234"/>
      <c r="AW7" s="234"/>
      <c r="AX7" s="234"/>
      <c r="AY7" s="234"/>
      <c r="AZ7" s="234"/>
      <c r="BA7" s="234"/>
      <c r="BB7" s="234"/>
      <c r="BC7" s="234"/>
      <c r="BD7" s="234"/>
      <c r="BE7" s="234"/>
      <c r="BF7" s="234"/>
      <c r="BG7" s="234"/>
      <c r="BH7" s="234"/>
      <c r="BI7" s="234"/>
      <c r="BJ7" s="234"/>
      <c r="BK7" s="234"/>
      <c r="BL7" s="234"/>
      <c r="BM7" s="234"/>
      <c r="BN7" s="234"/>
      <c r="BO7" s="234"/>
      <c r="BP7" s="234"/>
      <c r="BQ7" s="234"/>
      <c r="BR7" s="234"/>
      <c r="BS7" s="234"/>
      <c r="BT7" s="234"/>
      <c r="BU7" s="234"/>
      <c r="BV7" s="234"/>
      <c r="BW7" s="234"/>
      <c r="BX7" s="234"/>
      <c r="BY7" s="234"/>
      <c r="BZ7" s="234"/>
      <c r="CA7" s="234"/>
      <c r="CB7" s="234"/>
    </row>
    <row r="8" spans="1:80" s="185" customFormat="1" ht="110.25" customHeight="1" x14ac:dyDescent="0.25">
      <c r="A8" s="680"/>
      <c r="B8" s="792"/>
      <c r="C8" s="779"/>
      <c r="D8" s="779"/>
      <c r="E8" s="200" t="s">
        <v>459</v>
      </c>
      <c r="F8" s="822"/>
      <c r="G8" s="843"/>
      <c r="H8" s="823"/>
      <c r="I8" s="823"/>
      <c r="J8" s="823"/>
      <c r="K8" s="823"/>
      <c r="L8" s="822"/>
      <c r="M8" s="823"/>
      <c r="N8" s="843"/>
      <c r="O8" s="849"/>
      <c r="P8" s="849"/>
      <c r="Q8" s="844"/>
      <c r="R8" s="820"/>
      <c r="S8" s="846"/>
      <c r="T8" s="822"/>
      <c r="U8" s="820"/>
      <c r="V8" s="200" t="s">
        <v>11</v>
      </c>
      <c r="W8" s="200" t="s">
        <v>15</v>
      </c>
      <c r="X8" s="200" t="s">
        <v>24</v>
      </c>
      <c r="Y8" s="200" t="s">
        <v>16</v>
      </c>
      <c r="Z8" s="200" t="s">
        <v>19</v>
      </c>
      <c r="AA8" s="200" t="s">
        <v>22</v>
      </c>
      <c r="AB8" s="206" t="s">
        <v>435</v>
      </c>
      <c r="AC8" s="207" t="s">
        <v>500</v>
      </c>
      <c r="AD8" s="848"/>
      <c r="AE8" s="846"/>
      <c r="AF8" s="846"/>
      <c r="AG8" s="846"/>
      <c r="AH8" s="846"/>
      <c r="AI8" s="846"/>
      <c r="AJ8" s="818"/>
      <c r="AK8" s="680"/>
      <c r="AL8" s="239"/>
      <c r="AM8" s="239"/>
      <c r="AN8" s="239"/>
      <c r="AO8" s="239"/>
      <c r="AP8" s="239"/>
      <c r="AQ8" s="240"/>
      <c r="AR8" s="239"/>
      <c r="AS8" s="239"/>
      <c r="AT8" s="239"/>
      <c r="AU8" s="239"/>
      <c r="AV8" s="239"/>
      <c r="AW8" s="239"/>
      <c r="AX8" s="239"/>
      <c r="AY8" s="239"/>
      <c r="AZ8" s="239"/>
      <c r="BA8" s="239"/>
      <c r="BB8" s="239"/>
      <c r="BC8" s="239"/>
      <c r="BD8" s="239"/>
      <c r="BE8" s="239"/>
      <c r="BF8" s="239"/>
      <c r="BG8" s="239"/>
      <c r="BH8" s="239"/>
      <c r="BI8" s="239"/>
      <c r="BJ8" s="239"/>
      <c r="BK8" s="239"/>
      <c r="BL8" s="239"/>
      <c r="BM8" s="239"/>
      <c r="BN8" s="239"/>
      <c r="BO8" s="239"/>
      <c r="BP8" s="239"/>
      <c r="BQ8" s="239"/>
      <c r="BR8" s="239"/>
      <c r="BS8" s="239"/>
      <c r="BT8" s="239"/>
      <c r="BU8" s="239"/>
      <c r="BV8" s="239"/>
      <c r="BW8" s="239"/>
      <c r="BX8" s="239"/>
      <c r="BY8" s="239"/>
      <c r="BZ8" s="239"/>
      <c r="CA8" s="239"/>
      <c r="CB8" s="239"/>
    </row>
    <row r="9" spans="1:80" ht="126.75" customHeight="1" x14ac:dyDescent="0.2">
      <c r="A9" s="681" t="s">
        <v>531</v>
      </c>
      <c r="B9" s="780">
        <v>1</v>
      </c>
      <c r="C9" s="783" t="s">
        <v>202</v>
      </c>
      <c r="D9" s="687" t="s">
        <v>203</v>
      </c>
      <c r="E9" s="201">
        <v>1</v>
      </c>
      <c r="F9" s="209" t="s">
        <v>577</v>
      </c>
      <c r="G9" s="263" t="s">
        <v>195</v>
      </c>
      <c r="H9" s="263" t="s">
        <v>811</v>
      </c>
      <c r="I9" s="270" t="s">
        <v>214</v>
      </c>
      <c r="J9" s="364" t="s">
        <v>218</v>
      </c>
      <c r="K9" s="219" t="s">
        <v>199</v>
      </c>
      <c r="L9" s="216">
        <v>12</v>
      </c>
      <c r="M9" s="217" t="str">
        <f>IF(L9&lt;=0,"",IF(L9&lt;=2,"Muy Baja",IF(L9&lt;=24,"Baja",I126SI(L9&lt;=500,"Media",IF(L9&lt;=5000,"Alta","Muy Alta")))))</f>
        <v>Baja</v>
      </c>
      <c r="N9" s="214">
        <f t="shared" ref="N9:N15" si="0">IF(M9="","",IF(M9="Muy Baja",0.2,IF(M9="Baja",0.4,IF(M9="Media",0.6,IF(M9="Alta",0.8,IF(M9="Muy Alta",1,))))))</f>
        <v>0.4</v>
      </c>
      <c r="O9" s="223" t="s">
        <v>84</v>
      </c>
      <c r="P9" s="348" t="str">
        <f>IF(OR(O9='6.Tabla Impacto'!$C$11,O9='6.Tabla Impacto'!$D$11),"Leve",IF(OR(O9='6.Tabla Impacto'!$C$12,O9='6.Tabla Impacto'!$D$12),"Menor",IF(OR(O9='6.Tabla Impacto'!$C$13,O9='6.Tabla Impacto'!$D$13),"Moderado",IF(OR(O9='6.Tabla Impacto'!$C$14,O9:O9='6.Tabla Impacto'!$D$14),"Mayor",IF(OR(O9='6.Tabla Impacto'!$C$15,O9='6.Tabla Impacto'!$D$15),"Catastrófico","")))))</f>
        <v>Leve</v>
      </c>
      <c r="Q9" s="214">
        <f t="shared" ref="Q9:Q15" si="1">IF(P9="","",IF(P9="Leve",0.2,IF(P9="Menor",0.4,IF(P9="Moderado",0.6,IF(P9="Mayor",0.8,IF(P9="Catastrófico",1,))))))</f>
        <v>0.2</v>
      </c>
      <c r="R9" s="215" t="str">
        <f t="shared" ref="R9:R15" si="2">IF(OR(AND(M9="Muy Baja",P9="Leve"),AND(M9="Muy Baja",P9="Menor"),AND(M9="Baja",P9="Leve")),"Bajo",IF(OR(AND(M9="Muy baja",P9="Moderado"),AND(M9="Baja",P9="Menor"),AND(M9="Baja",P9="Moderado"),AND(M9="Media",P9="Leve"),AND(M9="Media",P9="Menor"),AND(M9="Media",P9="Moderado"),AND(M9="Alta",P9="Leve"),AND(M9="Alta",P9="Menor")),"Moderado",IF(OR(AND(M9="Muy Baja",P9="Mayor"),AND(M9="Baja",P9="Mayor"),AND(M9="Media",P9="Mayor"),AND(M9="Alta",P9="Moderado"),AND(M9="Alta",P9="Mayor"),AND(M9="Muy Alta",P9="Leve"),AND(M9="Muy Alta",P9="Menor"),AND(M9="Muy Alta",P9="Moderado"),AND(M9="Muy Alta",P9="Mayor")),"Alto",IF(OR(AND(M9="Muy Baja",P9="Catastrófico"),AND(M9="Baja",P9="Catastrófico"),AND(M9="Media",P9="Catastrófico"),AND(M9="Alta",P9="Catastrófico"),AND(M9="Muy Alta",P9="Catastrófico")),"Extremo",""))))</f>
        <v>Bajo</v>
      </c>
      <c r="S9" s="319">
        <v>1</v>
      </c>
      <c r="T9" s="174" t="s">
        <v>422</v>
      </c>
      <c r="U9" s="315" t="str">
        <f>IF(OR(V9="Preventivo",V9="Detectivo"),"Probabilidad",IF(V9="Correctivo","Impacto",""))</f>
        <v>Probabilidad</v>
      </c>
      <c r="V9" s="322" t="s">
        <v>12</v>
      </c>
      <c r="W9" s="322" t="s">
        <v>7</v>
      </c>
      <c r="X9" s="325" t="str">
        <f t="shared" ref="X9:X41" si="3">IF(AND(V9="Preventivo",W9="Automático"),"50%",IF(AND(V9="Preventivo",W9="Manual"),"40%",IF(AND(V9="Detectivo",W9="Automático"),"40%",IF(AND(V9="Detectivo",W9="Manual"),"30%",IF(AND(V9="Correctivo",W9="Automático"),"35%",IF(AND(V9="Correctivo",W9="Manual"),"25%",""))))))</f>
        <v>40%</v>
      </c>
      <c r="Y9" s="338" t="s">
        <v>17</v>
      </c>
      <c r="Z9" s="339" t="s">
        <v>20</v>
      </c>
      <c r="AA9" s="136" t="s">
        <v>204</v>
      </c>
      <c r="AB9" s="210"/>
      <c r="AC9" s="373" t="s">
        <v>502</v>
      </c>
      <c r="AD9" s="188">
        <f>IFERROR(IF(U9="Probabilidad",(N9-(+N9*X9)),IF(U9="Impacto",N9,"")),"")</f>
        <v>0.24</v>
      </c>
      <c r="AE9" s="138" t="str">
        <f t="shared" ref="AE9:AE21" si="4">IFERROR(IF(AD9="","",IF(AD9&lt;=0.2,"Muy Baja",IF(AD9&lt;=0.4,"Baja",IF(AD9&lt;=0.6,"Media",IF(AD9&lt;=0.8,"Alta","Muy Alta"))))),"")</f>
        <v>Baja</v>
      </c>
      <c r="AF9" s="325">
        <f>+AD9</f>
        <v>0.24</v>
      </c>
      <c r="AG9" s="343" t="str">
        <f>IFERROR(IF(AH9="","",IF(AH9&lt;=0.2,"Leve",IF(AH9&lt;=0.4,"Menor",IF(AH9&lt;=0.6,"Moderado",IF(AH9&lt;=0.8,"Mayor","Catastrófico"))))),"")</f>
        <v>Leve</v>
      </c>
      <c r="AH9" s="325">
        <f>IFERROR(IF(U9="Impacto",(Q9-(+Q9*X9)),IF(U9="Probabilidad",Q9,"")),"")</f>
        <v>0.2</v>
      </c>
      <c r="AI9" s="352" t="str">
        <f t="shared" ref="AI9:AI19" si="5">IFERROR(IF(OR(AND(AE9="Muy Baja",AG9="Leve"),AND(AE9="Muy Baja",AG9="Menor"),AND(AE9="Baja",AG9="Leve")),"Bajo",IF(OR(AND(AE9="Muy baja",AG9="Moderado"),AND(AE9="Baja",AG9="Menor"),AND(AE9="Baja",AG9="Moderado"),AND(AE9="Media",AG9="Leve"),AND(AE9="Media",AG9="Menor"),AND(AE9="Media",AG9="Moderado"),AND(AE9="Alta",AG9="Leve"),AND(AE9="Alta",AG9="Menor")),"Moderado",IF(OR(AND(AE9="Muy Baja",AG9="Mayor"),AND(AE9="Baja",AG9="Mayor"),AND(AE9="Media",AG9="Mayor"),AND(AE9="Alta",AG9="Moderado"),AND(AE9="Alta",AG9="Mayor"),AND(AE9="Muy Alta",AG9="Leve"),AND(AE9="Muy Alta",AG9="Menor"),AND(AE9="Muy Alta",AG9="Moderado"),AND(AE9="Muy Alta",AG9="Mayor")),"Alto",IF(OR(AND(AE9="Muy Baja",AG9="Catastrófico"),AND(AE9="Baja",AG9="Catastrófico"),AND(AE9="Media",AG9="Catastrófico"),AND(AE9="Alta",AG9="Catastrófico"),AND(AE9="Muy Alta",AG9="Catastrófico")),"Extremo","")))),"")</f>
        <v>Bajo</v>
      </c>
      <c r="AJ9" s="352" t="str">
        <f>$AI$9</f>
        <v>Bajo</v>
      </c>
      <c r="AK9" s="248" t="s">
        <v>119</v>
      </c>
    </row>
    <row r="10" spans="1:80" ht="134.25" customHeight="1" x14ac:dyDescent="0.2">
      <c r="A10" s="682"/>
      <c r="B10" s="781"/>
      <c r="C10" s="784"/>
      <c r="D10" s="688"/>
      <c r="E10" s="201">
        <v>2</v>
      </c>
      <c r="F10" s="209" t="s">
        <v>578</v>
      </c>
      <c r="G10" s="263" t="s">
        <v>200</v>
      </c>
      <c r="H10" s="263" t="s">
        <v>812</v>
      </c>
      <c r="I10" s="270" t="s">
        <v>214</v>
      </c>
      <c r="J10" s="364" t="s">
        <v>218</v>
      </c>
      <c r="K10" s="219" t="s">
        <v>199</v>
      </c>
      <c r="L10" s="216">
        <v>2586</v>
      </c>
      <c r="M10" s="217" t="str">
        <f>IF(L10&lt;=0,"",IF(L10&lt;=2,"Muy Baja",IF(L10&lt;=24,"Baja",IF(L10&lt;=500,"Media",IF(L10&lt;=5000,"Alta","Muy Alta")))))</f>
        <v>Alta</v>
      </c>
      <c r="N10" s="214">
        <f>IF(M10="","",IF(M10="Muy Baja",0.2,IF(M10="Baja",0.4,IF(M10="Media",0.6,IF(M10="Alta",0.8,S12SI(M10="Muy Alta",1,))))))</f>
        <v>0.8</v>
      </c>
      <c r="O10" s="223" t="s">
        <v>85</v>
      </c>
      <c r="P10" s="348" t="s">
        <v>68</v>
      </c>
      <c r="Q10" s="214">
        <v>0.6</v>
      </c>
      <c r="R10" s="215" t="str">
        <f t="shared" si="2"/>
        <v>Alto</v>
      </c>
      <c r="S10" s="319">
        <v>1</v>
      </c>
      <c r="T10" s="175" t="s">
        <v>423</v>
      </c>
      <c r="U10" s="315" t="str">
        <f>IF(OR(V10="Preventivo",V10="Detectivo"),"Probabilidad",IF(V10="Correctivo","Impacto",""))</f>
        <v>Probabilidad</v>
      </c>
      <c r="V10" s="322" t="s">
        <v>12</v>
      </c>
      <c r="W10" s="322" t="s">
        <v>7</v>
      </c>
      <c r="X10" s="325" t="str">
        <f t="shared" si="3"/>
        <v>40%</v>
      </c>
      <c r="Y10" s="338" t="s">
        <v>206</v>
      </c>
      <c r="Z10" s="339" t="s">
        <v>21</v>
      </c>
      <c r="AA10" s="136" t="s">
        <v>207</v>
      </c>
      <c r="AB10" s="210"/>
      <c r="AC10" s="373" t="s">
        <v>626</v>
      </c>
      <c r="AD10" s="188">
        <f>IFERROR(IF(U10="Probabilidad",(N10-(+N10*X10)),IF(U10="Impacto",N10,"")),"")</f>
        <v>0.48</v>
      </c>
      <c r="AE10" s="138" t="str">
        <f t="shared" si="4"/>
        <v>Media</v>
      </c>
      <c r="AF10" s="325">
        <f>+AD10</f>
        <v>0.48</v>
      </c>
      <c r="AG10" s="343" t="str">
        <f>IFERROR(IF(AH10="","",IF(AH10&lt;=0.2,"Leve",IF(AH10&lt;=0.4,"Menor",IF(AH10&lt;=0.6,"Moderado",IF(AH10&lt;=0.8,"Mayor","Catastrófico"))))),"")</f>
        <v>Moderado</v>
      </c>
      <c r="AH10" s="325">
        <f t="shared" ref="AH10:AH14" si="6">IFERROR(IF(U10="Impacto",(Q10-(+Q10*X10)),IF(U10="Probabilidad",Q10,"")),"")</f>
        <v>0.6</v>
      </c>
      <c r="AI10" s="352" t="str">
        <f t="shared" si="5"/>
        <v>Moderado</v>
      </c>
      <c r="AJ10" s="352" t="str">
        <f>$AI$10</f>
        <v>Moderado</v>
      </c>
      <c r="AK10" s="321" t="s">
        <v>119</v>
      </c>
    </row>
    <row r="11" spans="1:80" ht="291.75" customHeight="1" x14ac:dyDescent="0.2">
      <c r="A11" s="682"/>
      <c r="B11" s="781"/>
      <c r="C11" s="784"/>
      <c r="D11" s="688"/>
      <c r="E11" s="201">
        <v>3</v>
      </c>
      <c r="F11" s="267" t="s">
        <v>703</v>
      </c>
      <c r="G11" s="263" t="s">
        <v>704</v>
      </c>
      <c r="H11" s="263" t="s">
        <v>705</v>
      </c>
      <c r="I11" s="270" t="s">
        <v>412</v>
      </c>
      <c r="J11" s="364" t="s">
        <v>226</v>
      </c>
      <c r="K11" s="219" t="s">
        <v>199</v>
      </c>
      <c r="L11" s="216">
        <v>25</v>
      </c>
      <c r="M11" s="217" t="str">
        <f>IF(L11&lt;=0,"",IF(L11&lt;=2,"Muy Baja",IF(L11&lt;=24,"Baja",IF(L11&lt;=500,"Media",IF(L11&lt;=5000,"Alta","Muy Alta")))))</f>
        <v>Media</v>
      </c>
      <c r="N11" s="214">
        <f t="shared" si="0"/>
        <v>0.6</v>
      </c>
      <c r="O11" s="223" t="s">
        <v>86</v>
      </c>
      <c r="P11" s="348" t="str">
        <f>IF(OR(O11='6.Tabla Impacto'!$C$11,O11='6.Tabla Impacto'!$D$11),"Leve",IF(OR(O11='6.Tabla Impacto'!$C$12,O11='6.Tabla Impacto'!$D$12),"Menor",IF(OR(O11='6.Tabla Impacto'!$C$13,O11='6.Tabla Impacto'!$D$13),"Moderado",IF(OR(O11='6.Tabla Impacto'!$C$14,O11:O11='6.Tabla Impacto'!$D$14),"Mayor",IF(OR(O11='6.Tabla Impacto'!$C$15,O11='6.Tabla Impacto'!$D$15),"Catastrófico","")))))</f>
        <v>Menor</v>
      </c>
      <c r="Q11" s="214">
        <f t="shared" si="1"/>
        <v>0.4</v>
      </c>
      <c r="R11" s="215" t="str">
        <f t="shared" si="2"/>
        <v>Moderado</v>
      </c>
      <c r="S11" s="319">
        <v>1</v>
      </c>
      <c r="T11" s="267" t="s">
        <v>696</v>
      </c>
      <c r="U11" s="315" t="str">
        <f>IF(OR(V11="Preventivo",V11="Detectivo"),"Probabilidad",IF(V11="Correctivo","Impacto",""))</f>
        <v>Probabilidad</v>
      </c>
      <c r="V11" s="322" t="s">
        <v>12</v>
      </c>
      <c r="W11" s="322" t="s">
        <v>7</v>
      </c>
      <c r="X11" s="325" t="str">
        <f t="shared" si="3"/>
        <v>40%</v>
      </c>
      <c r="Y11" s="338" t="s">
        <v>208</v>
      </c>
      <c r="Z11" s="339" t="s">
        <v>209</v>
      </c>
      <c r="AA11" s="136" t="s">
        <v>207</v>
      </c>
      <c r="AB11" s="210"/>
      <c r="AC11" s="364" t="s">
        <v>697</v>
      </c>
      <c r="AD11" s="188">
        <f>IFERROR(IF(U11="Probabilidad",(N11-(+N11*X11)),IF(U11="Impacto",N11,"")),"")</f>
        <v>0.36</v>
      </c>
      <c r="AE11" s="138" t="str">
        <f t="shared" si="4"/>
        <v>Baja</v>
      </c>
      <c r="AF11" s="325">
        <f>+AD11</f>
        <v>0.36</v>
      </c>
      <c r="AG11" s="343" t="str">
        <f>IFERROR(IF(AH11="","",IF(AH11&lt;=0.2,"Leve",IF(AH11&lt;=0.4,"Menor",IF(AH11&lt;=0.6,"Moderado",IF(AH11&lt;=0.8,"Mayor","Catastrófico"))))),"")</f>
        <v>Menor</v>
      </c>
      <c r="AH11" s="325">
        <f t="shared" si="6"/>
        <v>0.4</v>
      </c>
      <c r="AI11" s="352" t="str">
        <f t="shared" si="5"/>
        <v>Moderado</v>
      </c>
      <c r="AJ11" s="352" t="str">
        <f>$AI$10</f>
        <v>Moderado</v>
      </c>
      <c r="AK11" s="321" t="s">
        <v>119</v>
      </c>
    </row>
    <row r="12" spans="1:80" ht="279" customHeight="1" x14ac:dyDescent="0.2">
      <c r="A12" s="682"/>
      <c r="B12" s="781"/>
      <c r="C12" s="784"/>
      <c r="D12" s="688"/>
      <c r="E12" s="201">
        <v>4</v>
      </c>
      <c r="F12" s="264" t="s">
        <v>706</v>
      </c>
      <c r="G12" s="263" t="s">
        <v>707</v>
      </c>
      <c r="H12" s="263" t="s">
        <v>708</v>
      </c>
      <c r="I12" s="270" t="s">
        <v>392</v>
      </c>
      <c r="J12" s="364" t="s">
        <v>220</v>
      </c>
      <c r="K12" s="219" t="s">
        <v>210</v>
      </c>
      <c r="L12" s="216">
        <v>4</v>
      </c>
      <c r="M12" s="217" t="str">
        <f t="shared" ref="M12:M21" si="7">IF(L12&lt;=0,"",IF(L12&lt;=2,"Muy Baja",IF(L12&lt;=24,"Baja",IF(L12&lt;=500,"Media",IF(L12&lt;=5000,"Alta","Muy Alta")))))</f>
        <v>Baja</v>
      </c>
      <c r="N12" s="214">
        <f t="shared" si="0"/>
        <v>0.4</v>
      </c>
      <c r="O12" s="223" t="s">
        <v>84</v>
      </c>
      <c r="P12" s="348" t="str">
        <f>IF(OR(O12='6.Tabla Impacto'!$C$11,O12='6.Tabla Impacto'!$D$11),"Leve",IF(OR(O12='6.Tabla Impacto'!$C$12,O12='6.Tabla Impacto'!$D$12),"Menor",IF(OR(O12='6.Tabla Impacto'!$C$13,O12='6.Tabla Impacto'!$D$13),"Moderado",IF(OR(O12='6.Tabla Impacto'!$C$14,O12:O12='6.Tabla Impacto'!$D$14),"Mayor",IF(OR(O12='6.Tabla Impacto'!$C$15,O12='6.Tabla Impacto'!$D$15),"Catastrófico","")))))</f>
        <v>Leve</v>
      </c>
      <c r="Q12" s="310">
        <f t="shared" si="1"/>
        <v>0.2</v>
      </c>
      <c r="R12" s="215" t="str">
        <f t="shared" si="2"/>
        <v>Bajo</v>
      </c>
      <c r="S12" s="319">
        <v>1</v>
      </c>
      <c r="T12" s="364" t="s">
        <v>775</v>
      </c>
      <c r="U12" s="315" t="str">
        <f>IF(OR(V12="Preventivo",V12="Detectivo"),"Probabilidad",IF(V12="Correctivo","Impacto",""))</f>
        <v>Probabilidad</v>
      </c>
      <c r="V12" s="322" t="s">
        <v>12</v>
      </c>
      <c r="W12" s="322" t="s">
        <v>7</v>
      </c>
      <c r="X12" s="325" t="str">
        <f t="shared" si="3"/>
        <v>40%</v>
      </c>
      <c r="Y12" s="338" t="s">
        <v>208</v>
      </c>
      <c r="Z12" s="339" t="s">
        <v>209</v>
      </c>
      <c r="AA12" s="136" t="s">
        <v>207</v>
      </c>
      <c r="AB12" s="245"/>
      <c r="AC12" s="373" t="s">
        <v>940</v>
      </c>
      <c r="AD12" s="188">
        <f>IFERROR(IF(U12="Probabilidad",(N12-(+N12*X12)),IF(U12="Impacto",N12,"")),"")</f>
        <v>0.24</v>
      </c>
      <c r="AE12" s="138" t="str">
        <f t="shared" si="4"/>
        <v>Baja</v>
      </c>
      <c r="AF12" s="325">
        <f t="shared" ref="AF12:AF19" si="8">+AD12</f>
        <v>0.24</v>
      </c>
      <c r="AG12" s="343" t="str">
        <f t="shared" ref="AG12:AG19" si="9">IFERROR(IF(AH12="","",IF(AH12&lt;=0.2,"Leve",IF(AH12&lt;=0.4,"Menor",IF(AH12&lt;=0.6,"Moderado",IF(AH12&lt;=0.8,"Mayor","Catastrófico"))))),"")</f>
        <v>Leve</v>
      </c>
      <c r="AH12" s="325">
        <f t="shared" si="6"/>
        <v>0.2</v>
      </c>
      <c r="AI12" s="352" t="str">
        <f t="shared" si="5"/>
        <v>Bajo</v>
      </c>
      <c r="AJ12" s="352" t="str">
        <f>$AI$10</f>
        <v>Moderado</v>
      </c>
      <c r="AK12" s="321" t="s">
        <v>119</v>
      </c>
    </row>
    <row r="13" spans="1:80" ht="136.5" customHeight="1" x14ac:dyDescent="0.2">
      <c r="A13" s="682"/>
      <c r="B13" s="780">
        <v>2</v>
      </c>
      <c r="C13" s="783" t="s">
        <v>212</v>
      </c>
      <c r="D13" s="255" t="s">
        <v>203</v>
      </c>
      <c r="E13" s="201">
        <v>5</v>
      </c>
      <c r="F13" s="209" t="s">
        <v>449</v>
      </c>
      <c r="G13" s="263" t="s">
        <v>414</v>
      </c>
      <c r="H13" s="263" t="s">
        <v>198</v>
      </c>
      <c r="I13" s="263" t="s">
        <v>214</v>
      </c>
      <c r="J13" s="364" t="s">
        <v>116</v>
      </c>
      <c r="K13" s="219" t="s">
        <v>199</v>
      </c>
      <c r="L13" s="216">
        <v>5</v>
      </c>
      <c r="M13" s="217" t="str">
        <f t="shared" si="7"/>
        <v>Baja</v>
      </c>
      <c r="N13" s="214">
        <f t="shared" si="0"/>
        <v>0.4</v>
      </c>
      <c r="O13" s="316" t="s">
        <v>84</v>
      </c>
      <c r="P13" s="348" t="str">
        <f>IF(OR(O13='6.Tabla Impacto'!$C$11,O13='6.Tabla Impacto'!$D$11),"Leve",IF(OR(O13='6.Tabla Impacto'!$C$12,O13='6.Tabla Impacto'!$D$12),"Menor",IF(OR(O13='6.Tabla Impacto'!$C$13,O13='6.Tabla Impacto'!$D$13),"Moderado",IF(OR(O13='6.Tabla Impacto'!$C$14,O13:O13='6.Tabla Impacto'!$D$14),"Mayor",IF(OR(O13='6.Tabla Impacto'!$C$15,O13='6.Tabla Impacto'!$D$15),"Catastrófico","")))))</f>
        <v>Leve</v>
      </c>
      <c r="Q13" s="214">
        <f t="shared" si="1"/>
        <v>0.2</v>
      </c>
      <c r="R13" s="305" t="str">
        <f t="shared" si="2"/>
        <v>Bajo</v>
      </c>
      <c r="S13" s="319">
        <v>1</v>
      </c>
      <c r="T13" s="373" t="s">
        <v>479</v>
      </c>
      <c r="U13" s="315" t="str">
        <f>IF(OR(V13="Preventivo",V13="Detectivo"),"Probabilidad",IF(V13="Correctivo","Impacto",""))</f>
        <v>Probabilidad</v>
      </c>
      <c r="V13" s="322" t="s">
        <v>13</v>
      </c>
      <c r="W13" s="322" t="s">
        <v>7</v>
      </c>
      <c r="X13" s="325" t="str">
        <f t="shared" si="3"/>
        <v>30%</v>
      </c>
      <c r="Y13" s="338" t="s">
        <v>208</v>
      </c>
      <c r="Z13" s="339" t="s">
        <v>209</v>
      </c>
      <c r="AA13" s="136" t="s">
        <v>207</v>
      </c>
      <c r="AB13" s="268"/>
      <c r="AC13" s="373" t="s">
        <v>579</v>
      </c>
      <c r="AD13" s="188">
        <v>0.36</v>
      </c>
      <c r="AE13" s="138" t="str">
        <f t="shared" ref="AE13" si="10">IFERROR(IF(AD13="","",IF(AD13&lt;=0.2,"Muy Baja",IF(AD13&lt;=0.4,"Baja",IF(AD13&lt;=0.6,"Media",IF(AD13&lt;=0.8,"Alta","Muy Alta"))))),"")</f>
        <v>Baja</v>
      </c>
      <c r="AF13" s="325">
        <v>0.24</v>
      </c>
      <c r="AG13" s="343" t="str">
        <f t="shared" ref="AG13" si="11">IFERROR(IF(AH13="","",IF(AH13&lt;=0.2,"Leve",IF(AH13&lt;=0.4,"Menor",IF(AH13&lt;=0.6,"Moderado",IF(AH13&lt;=0.8,"Mayor","Catastrófico"))))),"")</f>
        <v>Leve</v>
      </c>
      <c r="AH13" s="325">
        <v>0.2</v>
      </c>
      <c r="AI13" s="352" t="str">
        <f t="shared" ref="AI13" si="12">IFERROR(IF(OR(AND(AE13="Muy Baja",AG13="Leve"),AND(AE13="Muy Baja",AG13="Menor"),AND(AE13="Baja",AG13="Leve")),"Bajo",IF(OR(AND(AE13="Muy baja",AG13="Moderado"),AND(AE13="Baja",AG13="Menor"),AND(AE13="Baja",AG13="Moderado"),AND(AE13="Media",AG13="Leve"),AND(AE13="Media",AG13="Menor"),AND(AE13="Media",AG13="Moderado"),AND(AE13="Alta",AG13="Leve"),AND(AE13="Alta",AG13="Menor")),"Moderado",IF(OR(AND(AE13="Muy Baja",AG13="Mayor"),AND(AE13="Baja",AG13="Mayor"),AND(AE13="Media",AG13="Mayor"),AND(AE13="Alta",AG13="Moderado"),AND(AE13="Alta",AG13="Mayor"),AND(AE13="Muy Alta",AG13="Leve"),AND(AE13="Muy Alta",AG13="Menor"),AND(AE13="Muy Alta",AG13="Moderado"),AND(AE13="Muy Alta",AG13="Mayor")),"Alto",IF(OR(AND(AE13="Muy Baja",AG13="Catastrófico"),AND(AE13="Baja",AG13="Catastrófico"),AND(AE13="Media",AG13="Catastrófico"),AND(AE13="Alta",AG13="Catastrófico"),AND(AE13="Muy Alta",AG13="Catastrófico")),"Extremo","")))),"")</f>
        <v>Bajo</v>
      </c>
      <c r="AJ13" s="352" t="str">
        <f>$AI$10</f>
        <v>Moderado</v>
      </c>
      <c r="AK13" s="321" t="s">
        <v>119</v>
      </c>
    </row>
    <row r="14" spans="1:80" s="134" customFormat="1" ht="149.25" customHeight="1" x14ac:dyDescent="0.2">
      <c r="A14" s="682"/>
      <c r="B14" s="781"/>
      <c r="C14" s="784"/>
      <c r="D14" s="179" t="s">
        <v>203</v>
      </c>
      <c r="E14" s="345">
        <v>6</v>
      </c>
      <c r="F14" s="232" t="s">
        <v>450</v>
      </c>
      <c r="G14" s="174" t="s">
        <v>420</v>
      </c>
      <c r="H14" s="263" t="s">
        <v>421</v>
      </c>
      <c r="I14" s="330" t="s">
        <v>214</v>
      </c>
      <c r="J14" s="317" t="s">
        <v>232</v>
      </c>
      <c r="K14" s="318" t="s">
        <v>199</v>
      </c>
      <c r="L14" s="324">
        <v>1245</v>
      </c>
      <c r="M14" s="217" t="str">
        <f t="shared" si="7"/>
        <v>Alta</v>
      </c>
      <c r="N14" s="307">
        <f t="shared" si="0"/>
        <v>0.8</v>
      </c>
      <c r="O14" s="214" t="s">
        <v>85</v>
      </c>
      <c r="P14" s="348" t="str">
        <f>IF(OR(O14='6.Tabla Impacto'!$C$11,O14='6.Tabla Impacto'!$D$11),"Leve",IF(OR(O14='6.Tabla Impacto'!$C$12,O14='6.Tabla Impacto'!$D$12),"Menor",IF(OR(O14='6.Tabla Impacto'!$C$13,O14='6.Tabla Impacto'!$D$13),"Moderado",IF(OR(O14='6.Tabla Impacto'!$C$14,O14:O14='6.Tabla Impacto'!$D$14),"Mayor",IF(OR(O14='6.Tabla Impacto'!$C$15,O14='6.Tabla Impacto'!$D$15),"Catastrófico","")))))</f>
        <v>Moderado</v>
      </c>
      <c r="Q14" s="214">
        <f t="shared" si="1"/>
        <v>0.6</v>
      </c>
      <c r="R14" s="215" t="str">
        <f t="shared" si="2"/>
        <v>Alto</v>
      </c>
      <c r="S14" s="333">
        <v>1</v>
      </c>
      <c r="T14" s="373" t="s">
        <v>451</v>
      </c>
      <c r="U14" s="171" t="s">
        <v>2</v>
      </c>
      <c r="V14" s="322" t="s">
        <v>12</v>
      </c>
      <c r="W14" s="322" t="s">
        <v>7</v>
      </c>
      <c r="X14" s="325" t="str">
        <f t="shared" si="3"/>
        <v>40%</v>
      </c>
      <c r="Y14" s="338" t="s">
        <v>208</v>
      </c>
      <c r="Z14" s="339" t="s">
        <v>209</v>
      </c>
      <c r="AA14" s="136" t="s">
        <v>207</v>
      </c>
      <c r="AB14" s="245"/>
      <c r="AC14" s="332" t="s">
        <v>586</v>
      </c>
      <c r="AD14" s="198">
        <v>0.8</v>
      </c>
      <c r="AE14" s="138" t="str">
        <f t="shared" si="4"/>
        <v>Alta</v>
      </c>
      <c r="AF14" s="325">
        <f t="shared" si="8"/>
        <v>0.8</v>
      </c>
      <c r="AG14" s="143" t="s">
        <v>5</v>
      </c>
      <c r="AH14" s="325">
        <f t="shared" si="6"/>
        <v>0.6</v>
      </c>
      <c r="AI14" s="352" t="str">
        <f t="shared" si="5"/>
        <v>Alto</v>
      </c>
      <c r="AJ14" s="352" t="s">
        <v>67</v>
      </c>
      <c r="AK14" s="321" t="s">
        <v>119</v>
      </c>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34"/>
      <c r="BS14" s="234"/>
      <c r="BT14" s="234"/>
      <c r="BU14" s="234"/>
      <c r="BV14" s="234"/>
      <c r="BW14" s="234"/>
      <c r="BX14" s="234"/>
      <c r="BY14" s="234"/>
      <c r="BZ14" s="234"/>
      <c r="CA14" s="234"/>
      <c r="CB14" s="234"/>
    </row>
    <row r="15" spans="1:80" ht="183" customHeight="1" x14ac:dyDescent="0.2">
      <c r="A15" s="682"/>
      <c r="B15" s="781"/>
      <c r="C15" s="784"/>
      <c r="D15" s="687" t="s">
        <v>203</v>
      </c>
      <c r="E15" s="658">
        <v>7</v>
      </c>
      <c r="F15" s="336" t="s">
        <v>825</v>
      </c>
      <c r="G15" s="336" t="s">
        <v>419</v>
      </c>
      <c r="H15" s="230" t="s">
        <v>447</v>
      </c>
      <c r="I15" s="653" t="s">
        <v>214</v>
      </c>
      <c r="J15" s="592" t="s">
        <v>232</v>
      </c>
      <c r="K15" s="594" t="s">
        <v>199</v>
      </c>
      <c r="L15" s="605">
        <v>2000</v>
      </c>
      <c r="M15" s="565" t="str">
        <f t="shared" si="7"/>
        <v>Alta</v>
      </c>
      <c r="N15" s="567">
        <f t="shared" si="0"/>
        <v>0.8</v>
      </c>
      <c r="O15" s="567" t="s">
        <v>85</v>
      </c>
      <c r="P15" s="697" t="str">
        <f>IF(OR(O15='6.Tabla Impacto'!$C$11,O15='6.Tabla Impacto'!$D$11),"Leve",IF(OR(O15='6.Tabla Impacto'!$C$12,O15='6.Tabla Impacto'!$D$12),"Menor",IF(OR(O15='6.Tabla Impacto'!$C$13,O15='6.Tabla Impacto'!$D$13),"Moderado",IF(OR(O15='6.Tabla Impacto'!$C$14,O15:O15='6.Tabla Impacto'!$D$14),"Mayor",IF(OR(O15='6.Tabla Impacto'!$C$15,O15='6.Tabla Impacto'!$D$15),"Catastrófico","")))))</f>
        <v>Moderado</v>
      </c>
      <c r="Q15" s="567">
        <f t="shared" si="1"/>
        <v>0.6</v>
      </c>
      <c r="R15" s="562" t="str">
        <f t="shared" si="2"/>
        <v>Alto</v>
      </c>
      <c r="S15" s="318">
        <v>1</v>
      </c>
      <c r="T15" s="267" t="s">
        <v>826</v>
      </c>
      <c r="U15" s="140" t="s">
        <v>1</v>
      </c>
      <c r="V15" s="322" t="s">
        <v>12</v>
      </c>
      <c r="W15" s="322" t="s">
        <v>7</v>
      </c>
      <c r="X15" s="325" t="str">
        <f t="shared" si="3"/>
        <v>40%</v>
      </c>
      <c r="Y15" s="338" t="s">
        <v>208</v>
      </c>
      <c r="Z15" s="339" t="s">
        <v>209</v>
      </c>
      <c r="AA15" s="136" t="s">
        <v>207</v>
      </c>
      <c r="AB15" s="244"/>
      <c r="AC15" s="373" t="s">
        <v>667</v>
      </c>
      <c r="AD15" s="141">
        <f>IFERROR(IF(U15="Probabilidad",(N15-(+N15*X15)),IF(U15="Impacto",N15,"")),"")</f>
        <v>0.8</v>
      </c>
      <c r="AE15" s="143" t="str">
        <f t="shared" si="4"/>
        <v>Alta</v>
      </c>
      <c r="AF15" s="139">
        <f t="shared" si="8"/>
        <v>0.8</v>
      </c>
      <c r="AG15" s="143" t="s">
        <v>5</v>
      </c>
      <c r="AH15" s="325">
        <v>0.6</v>
      </c>
      <c r="AI15" s="213" t="str">
        <f t="shared" si="5"/>
        <v>Alto</v>
      </c>
      <c r="AJ15" s="352" t="s">
        <v>67</v>
      </c>
      <c r="AK15" s="248" t="s">
        <v>119</v>
      </c>
    </row>
    <row r="16" spans="1:80" ht="156.75" customHeight="1" x14ac:dyDescent="0.2">
      <c r="A16" s="682"/>
      <c r="B16" s="781"/>
      <c r="C16" s="784"/>
      <c r="D16" s="689"/>
      <c r="E16" s="659"/>
      <c r="F16" s="337"/>
      <c r="G16" s="337"/>
      <c r="H16" s="231"/>
      <c r="I16" s="654"/>
      <c r="J16" s="655"/>
      <c r="K16" s="595"/>
      <c r="L16" s="606"/>
      <c r="M16" s="566"/>
      <c r="N16" s="568"/>
      <c r="O16" s="568"/>
      <c r="P16" s="698"/>
      <c r="Q16" s="568"/>
      <c r="R16" s="563"/>
      <c r="S16" s="219">
        <v>2</v>
      </c>
      <c r="T16" s="264" t="s">
        <v>827</v>
      </c>
      <c r="U16" s="140" t="s">
        <v>1</v>
      </c>
      <c r="V16" s="322" t="s">
        <v>12</v>
      </c>
      <c r="W16" s="322" t="s">
        <v>7</v>
      </c>
      <c r="X16" s="325" t="str">
        <f t="shared" si="3"/>
        <v>40%</v>
      </c>
      <c r="Y16" s="338" t="s">
        <v>18</v>
      </c>
      <c r="Z16" s="339" t="s">
        <v>21</v>
      </c>
      <c r="AA16" s="136" t="s">
        <v>23</v>
      </c>
      <c r="AB16" s="245"/>
      <c r="AC16" s="373" t="s">
        <v>668</v>
      </c>
      <c r="AD16" s="141">
        <v>0.8</v>
      </c>
      <c r="AE16" s="143" t="str">
        <f t="shared" si="4"/>
        <v>Alta</v>
      </c>
      <c r="AF16" s="139">
        <f t="shared" si="8"/>
        <v>0.8</v>
      </c>
      <c r="AG16" s="143" t="s">
        <v>5</v>
      </c>
      <c r="AH16" s="325">
        <v>0.6</v>
      </c>
      <c r="AI16" s="213" t="str">
        <f t="shared" si="5"/>
        <v>Alto</v>
      </c>
      <c r="AJ16" s="352" t="s">
        <v>67</v>
      </c>
      <c r="AK16" s="248" t="s">
        <v>119</v>
      </c>
    </row>
    <row r="17" spans="1:80" ht="144.75" customHeight="1" x14ac:dyDescent="0.2">
      <c r="A17" s="682"/>
      <c r="B17" s="781"/>
      <c r="C17" s="784"/>
      <c r="D17" s="687" t="s">
        <v>203</v>
      </c>
      <c r="E17" s="658">
        <v>8</v>
      </c>
      <c r="F17" s="670" t="s">
        <v>828</v>
      </c>
      <c r="G17" s="653" t="s">
        <v>452</v>
      </c>
      <c r="H17" s="653" t="s">
        <v>243</v>
      </c>
      <c r="I17" s="653" t="s">
        <v>214</v>
      </c>
      <c r="J17" s="592" t="s">
        <v>232</v>
      </c>
      <c r="K17" s="594" t="s">
        <v>199</v>
      </c>
      <c r="L17" s="605">
        <v>48</v>
      </c>
      <c r="M17" s="565" t="str">
        <f t="shared" si="7"/>
        <v>Media</v>
      </c>
      <c r="N17" s="567">
        <f>IF(M17="","",IF(M17="Muy Baja",0.2,IF(M17="Baja",0.4,IF(M17="Media",0.6,IF(M17="Alta",0.8,IF(M17="Muy Alta",1,))))))</f>
        <v>0.6</v>
      </c>
      <c r="O17" s="707" t="s">
        <v>86</v>
      </c>
      <c r="P17" s="697" t="str">
        <f>IF(OR(O17='6.Tabla Impacto'!$C$11,O17='6.Tabla Impacto'!$D$11),"Leve",IF(OR(O17='6.Tabla Impacto'!$C$12,O17='6.Tabla Impacto'!$D$12),"Menor",IF(OR(O17='6.Tabla Impacto'!$C$13,O17='6.Tabla Impacto'!$D$13),"Moderado",IF(OR(O17='6.Tabla Impacto'!$C$14,O17:O17='6.Tabla Impacto'!$D$14),"Mayor",IF(OR(O17='6.Tabla Impacto'!$C$15,O17='6.Tabla Impacto'!$D$15),"Catastrófico","")))))</f>
        <v>Menor</v>
      </c>
      <c r="Q17" s="567">
        <f>IF(P17="","",IF(P17="Leve",0.2,IF(P17="Menor",0.4,IF(P17="Moderado",0.6,IF(P17="Mayor",0.8,IF(P17="Catastrófico",1,))))))</f>
        <v>0.4</v>
      </c>
      <c r="R17" s="562" t="str">
        <f>IF(OR(AND(M17="Muy Baja",P17="Leve"),AND(M17="Muy Baja",P17="Menor"),AND(M17="Baja",P17="Leve")),"Bajo",IF(OR(AND(M17="Muy baja",P17="Moderado"),AND(M17="Baja",P17="Menor"),AND(M17="Baja",P17="Moderado"),AND(M17="Media",P17="Leve"),AND(M17="Media",P17="Menor"),AND(M17="Media",P17="Moderado"),AND(M17="Alta",P17="Leve"),AND(M17="Alta",P17="Menor")),"Moderado",IF(OR(AND(M17="Muy Baja",P17="Mayor"),AND(M17="Baja",P17="Mayor"),AND(M17="Media",P17="Mayor"),AND(M17="Alta",P17="Moderado"),AND(M17="Alta",P17="Mayor"),AND(M17="Muy Alta",P17="Leve"),AND(M17="Muy Alta",P17="Menor"),AND(M17="Muy Alta",P17="Moderado"),AND(M17="Muy Alta",P17="Mayor")),"Alto",IF(OR(AND(M17="Muy Baja",P17="Catastrófico"),AND(M17="Baja",P17="Catastrófico"),AND(M17="Media",P17="Catastrófico"),AND(M17="Alta",P17="Catastrófico"),AND(M17="Muy Alta",P17="Catastrófico")),"Extremo",""))))</f>
        <v>Moderado</v>
      </c>
      <c r="S17" s="319">
        <v>1</v>
      </c>
      <c r="T17" s="375" t="s">
        <v>453</v>
      </c>
      <c r="U17" s="140" t="s">
        <v>2</v>
      </c>
      <c r="V17" s="322" t="s">
        <v>12</v>
      </c>
      <c r="W17" s="322" t="s">
        <v>7</v>
      </c>
      <c r="X17" s="325" t="str">
        <f t="shared" si="3"/>
        <v>40%</v>
      </c>
      <c r="Y17" s="338" t="s">
        <v>208</v>
      </c>
      <c r="Z17" s="339" t="s">
        <v>209</v>
      </c>
      <c r="AA17" s="136" t="s">
        <v>207</v>
      </c>
      <c r="AB17" s="394"/>
      <c r="AC17" s="373" t="s">
        <v>504</v>
      </c>
      <c r="AD17" s="358">
        <f>IFERROR(IF(U17="Probabilidad",(N17-(+N17*X17)),IF(U17="Impacto",N17,"")),"")</f>
        <v>0.36</v>
      </c>
      <c r="AE17" s="344" t="str">
        <f t="shared" si="4"/>
        <v>Baja</v>
      </c>
      <c r="AF17" s="323">
        <f t="shared" si="8"/>
        <v>0.36</v>
      </c>
      <c r="AG17" s="342" t="str">
        <f t="shared" si="9"/>
        <v>Menor</v>
      </c>
      <c r="AH17" s="323">
        <f>IFERROR(IF(U17="Impacto",(Q17-(+Q17*X17)),IF(U17="Probabilidad",Q17,"")),"")</f>
        <v>0.4</v>
      </c>
      <c r="AI17" s="351" t="str">
        <f t="shared" si="5"/>
        <v>Moderado</v>
      </c>
      <c r="AJ17" s="351" t="str">
        <f>$AI$10</f>
        <v>Moderado</v>
      </c>
      <c r="AK17" s="248" t="s">
        <v>119</v>
      </c>
    </row>
    <row r="18" spans="1:80" s="134" customFormat="1" ht="81.75" customHeight="1" x14ac:dyDescent="0.2">
      <c r="A18" s="682"/>
      <c r="B18" s="781"/>
      <c r="C18" s="784"/>
      <c r="D18" s="688"/>
      <c r="E18" s="692"/>
      <c r="F18" s="671"/>
      <c r="G18" s="661"/>
      <c r="H18" s="661"/>
      <c r="I18" s="661"/>
      <c r="J18" s="647"/>
      <c r="K18" s="609"/>
      <c r="L18" s="637"/>
      <c r="M18" s="572"/>
      <c r="N18" s="571"/>
      <c r="O18" s="743"/>
      <c r="P18" s="572"/>
      <c r="Q18" s="571"/>
      <c r="R18" s="563"/>
      <c r="S18" s="319">
        <v>2</v>
      </c>
      <c r="T18" s="375" t="s">
        <v>669</v>
      </c>
      <c r="U18" s="140" t="s">
        <v>2</v>
      </c>
      <c r="V18" s="322" t="s">
        <v>12</v>
      </c>
      <c r="W18" s="322" t="s">
        <v>8</v>
      </c>
      <c r="X18" s="325" t="str">
        <f t="shared" si="3"/>
        <v>50%</v>
      </c>
      <c r="Y18" s="248" t="s">
        <v>17</v>
      </c>
      <c r="Z18" s="243" t="s">
        <v>20</v>
      </c>
      <c r="AA18" s="136" t="s">
        <v>413</v>
      </c>
      <c r="AB18" s="394"/>
      <c r="AC18" s="373" t="s">
        <v>695</v>
      </c>
      <c r="AD18" s="358">
        <v>0.36</v>
      </c>
      <c r="AE18" s="344" t="str">
        <f t="shared" si="4"/>
        <v>Baja</v>
      </c>
      <c r="AF18" s="323">
        <f t="shared" si="8"/>
        <v>0.36</v>
      </c>
      <c r="AG18" s="342" t="str">
        <f t="shared" si="9"/>
        <v>Menor</v>
      </c>
      <c r="AH18" s="323">
        <v>0.4</v>
      </c>
      <c r="AI18" s="351" t="str">
        <f t="shared" si="5"/>
        <v>Moderado</v>
      </c>
      <c r="AJ18" s="351" t="str">
        <f>$AI$10</f>
        <v>Moderado</v>
      </c>
      <c r="AK18" s="248" t="s">
        <v>119</v>
      </c>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34"/>
      <c r="BS18" s="234"/>
      <c r="BT18" s="234"/>
      <c r="BU18" s="234"/>
      <c r="BV18" s="234"/>
      <c r="BW18" s="234"/>
      <c r="BX18" s="234"/>
      <c r="BY18" s="234"/>
      <c r="BZ18" s="234"/>
      <c r="CA18" s="234"/>
      <c r="CB18" s="234"/>
    </row>
    <row r="19" spans="1:80" s="66" customFormat="1" ht="227.25" customHeight="1" x14ac:dyDescent="0.25">
      <c r="A19" s="682"/>
      <c r="B19" s="781"/>
      <c r="C19" s="784"/>
      <c r="D19" s="688"/>
      <c r="E19" s="659"/>
      <c r="F19" s="672"/>
      <c r="G19" s="654"/>
      <c r="H19" s="654"/>
      <c r="I19" s="654"/>
      <c r="J19" s="655"/>
      <c r="K19" s="595"/>
      <c r="L19" s="606"/>
      <c r="M19" s="566"/>
      <c r="N19" s="568"/>
      <c r="O19" s="708"/>
      <c r="P19" s="566"/>
      <c r="Q19" s="568"/>
      <c r="R19" s="564"/>
      <c r="S19" s="219">
        <v>3</v>
      </c>
      <c r="T19" s="267" t="s">
        <v>454</v>
      </c>
      <c r="U19" s="140" t="s">
        <v>2</v>
      </c>
      <c r="V19" s="248" t="s">
        <v>12</v>
      </c>
      <c r="W19" s="248" t="s">
        <v>7</v>
      </c>
      <c r="X19" s="139" t="str">
        <f t="shared" si="3"/>
        <v>40%</v>
      </c>
      <c r="Y19" s="248" t="s">
        <v>17</v>
      </c>
      <c r="Z19" s="248" t="s">
        <v>20</v>
      </c>
      <c r="AA19" s="248" t="s">
        <v>105</v>
      </c>
      <c r="AB19" s="244"/>
      <c r="AC19" s="373" t="s">
        <v>503</v>
      </c>
      <c r="AD19" s="358">
        <v>0.36</v>
      </c>
      <c r="AE19" s="344" t="str">
        <f t="shared" si="4"/>
        <v>Baja</v>
      </c>
      <c r="AF19" s="323">
        <f t="shared" si="8"/>
        <v>0.36</v>
      </c>
      <c r="AG19" s="342" t="str">
        <f t="shared" si="9"/>
        <v>Menor</v>
      </c>
      <c r="AH19" s="323">
        <v>0.4</v>
      </c>
      <c r="AI19" s="351" t="str">
        <f t="shared" si="5"/>
        <v>Moderado</v>
      </c>
      <c r="AJ19" s="351" t="str">
        <f>$AI$10</f>
        <v>Moderado</v>
      </c>
      <c r="AK19" s="248" t="s">
        <v>119</v>
      </c>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row>
    <row r="20" spans="1:80" s="66" customFormat="1" ht="366" customHeight="1" x14ac:dyDescent="0.25">
      <c r="A20" s="682"/>
      <c r="B20" s="780">
        <v>3</v>
      </c>
      <c r="C20" s="783" t="s">
        <v>247</v>
      </c>
      <c r="D20" s="687" t="s">
        <v>308</v>
      </c>
      <c r="E20" s="346">
        <v>9</v>
      </c>
      <c r="F20" s="267" t="s">
        <v>829</v>
      </c>
      <c r="G20" s="263" t="s">
        <v>248</v>
      </c>
      <c r="H20" s="263" t="s">
        <v>250</v>
      </c>
      <c r="I20" s="330" t="s">
        <v>214</v>
      </c>
      <c r="J20" s="332" t="s">
        <v>218</v>
      </c>
      <c r="K20" s="219" t="s">
        <v>199</v>
      </c>
      <c r="L20" s="216">
        <v>365</v>
      </c>
      <c r="M20" s="306" t="str">
        <f>IF(L20&lt;=0,"",IF(L20&lt;=2,"Muy Baja",IF(L20&lt;=24,"Baja",IF(L20&lt;=500,"Media",IF(L20&lt;=5000,"Alta","Muy Alta")))))</f>
        <v>Media</v>
      </c>
      <c r="N20" s="214">
        <f>IF(M20="","",IF(M20="Muy Baja",0.2,IF(M20="Baja",0.4,IF(M20="Media",0.6,IF(M20="Alta",0.8,IF(M20="Muy Alta",1,))))))</f>
        <v>0.6</v>
      </c>
      <c r="O20" s="376" t="s">
        <v>86</v>
      </c>
      <c r="P20" s="217" t="str">
        <f>IF(OR(O20='6.Tabla Impacto'!$C$11,O20='6.Tabla Impacto'!$D$11),"Leve",IF(OR(O20='6.Tabla Impacto'!$C$12,O20='6.Tabla Impacto'!$D$12),"Menor",IF(OR(O20='6.Tabla Impacto'!$C$13,O20='6.Tabla Impacto'!$D$13),"Moderado",IF(OR(O20='6.Tabla Impacto'!$C$14,O20:O20='6.Tabla Impacto'!$D$14),"Mayor",IF(OR(O20='6.Tabla Impacto'!$C$15,O20='6.Tabla Impacto'!$D$15),"Catastrófico","")))))</f>
        <v>Menor</v>
      </c>
      <c r="Q20" s="214">
        <f>IF(P20="","",IF(P20="Leve",0.2,IF(P20="Menor",0.4,IF(P20="Moderado",0.6,IF(P20="Mayor",0.8,IF(P20="Catastrófico",1,))))))</f>
        <v>0.4</v>
      </c>
      <c r="R20" s="215" t="str">
        <f>IF(OR(AND(M20="Muy Baja",P20="Leve"),AND(M20="Muy Baja",P20="Menor"),AND(M20="Baja",P20="Leve")),"Bajo",IF(OR(AND(M20="Muy baja",P20="Moderado"),AND(M20="Baja",P20="Menor"),AND(M20="Baja",P20="Moderado"),AND(M20="Media",P20="Leve"),AND(M20="Media",P20="Menor"),AND(M20="Media",P20="Moderado"),AND(M20="Alta",P20="Leve"),AND(M20="Alta",P20="Menor")),"Moderado",IF(OR(AND(M20="Muy Baja",P20="Mayor"),AND(M20="Baja",P20="Mayor"),AND(M20="Media",P20="Mayor"),AND(M20="Alta",P20="Moderado"),AND(M20="Alta",P20="Mayor"),AND(M20="Muy Alta",P20="Leve"),AND(M20="Muy Alta",P20="Menor"),AND(M20="Muy Alta",P20="Moderado"),AND(M20="Muy Alta",P20="Mayor")),"Alto",IF(OR(AND(M20="Muy Baja",P20="Catastrófico"),AND(M20="Baja",P20="Catastrófico"),AND(M20="Media",P20="Catastrófico"),AND(M20="Alta",P20="Catastrófico"),AND(M20="Muy Alta",P20="Catastrófico")),"Extremo",""))))</f>
        <v>Moderado</v>
      </c>
      <c r="S20" s="219">
        <v>1</v>
      </c>
      <c r="T20" s="377" t="s">
        <v>252</v>
      </c>
      <c r="U20" s="140" t="s">
        <v>1</v>
      </c>
      <c r="V20" s="248" t="s">
        <v>12</v>
      </c>
      <c r="W20" s="248" t="s">
        <v>7</v>
      </c>
      <c r="X20" s="139" t="str">
        <f t="shared" si="3"/>
        <v>40%</v>
      </c>
      <c r="Y20" s="248" t="s">
        <v>17</v>
      </c>
      <c r="Z20" s="248" t="s">
        <v>20</v>
      </c>
      <c r="AA20" s="248" t="s">
        <v>105</v>
      </c>
      <c r="AB20" s="245"/>
      <c r="AC20" s="364" t="s">
        <v>670</v>
      </c>
      <c r="AD20" s="141">
        <f>IFERROR(IF(U20="Probabilidad",(N20-(+N20*X20)),IF(U20="Impacto",N20,"")),"")</f>
        <v>0.6</v>
      </c>
      <c r="AE20" s="342" t="str">
        <f t="shared" si="4"/>
        <v>Media</v>
      </c>
      <c r="AF20" s="139">
        <f t="shared" ref="AF20:AF49" si="13">+AD20</f>
        <v>0.6</v>
      </c>
      <c r="AG20" s="342" t="s">
        <v>68</v>
      </c>
      <c r="AH20" s="139">
        <v>0.6</v>
      </c>
      <c r="AI20" s="213" t="str">
        <f>IFERROR(IF(OR(AND(AE21="Muy Baja",AG20="Leve"),AND(AE21="Muy Baja",AG20="Menor"),AND(AE21="Baja",AG20="Leve")),"Bajo",IF(OR(AND(AE21="Muy baja",AG20="Moderado"),AND(AE21="Baja",AG20="Menor"),AND(AE21="Baja",AG20="Moderado"),AND(AE21="Media",AG20="Leve"),AND(AE21="Media",AG20="Menor"),AND(AE21="Media",AG20="Moderado"),AND(AE21="Alta",AG20="Leve"),AND(AE21="Alta",AG20="Menor")),"Moderado",IF(OR(AND(AE21="Muy Baja",AG20="Mayor"),AND(AE21="Baja",AG20="Mayor"),AND(AE21="Media",AG20="Mayor"),AND(AE21="Alta",AG20="Moderado"),AND(AE21="Alta",AG20="Mayor"),AND(AE21="Muy Alta",AG20="Leve"),AND(AE21="Muy Alta",AG20="Menor"),AND(AE21="Muy Alta",AG20="Moderado"),AND(AE21="Muy Alta",AG20="Mayor")),"Alto",IF(OR(AND(AE21="Muy Baja",AG20="Catastrófico"),AND(AE21="Baja",AG20="Catastrófico"),AND(AE21="Media",AG20="Catastrófico"),AND(AE21="Alta",AG20="Catastrófico"),AND(AE21="Muy Alta",AG20="Catastrófico")),"Extremo","")))),"")</f>
        <v>Moderado</v>
      </c>
      <c r="AJ20" s="213" t="str">
        <f t="shared" ref="AJ20:AJ51" si="14">$AI$10</f>
        <v>Moderado</v>
      </c>
      <c r="AK20" s="248" t="s">
        <v>119</v>
      </c>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row>
    <row r="21" spans="1:80" s="66" customFormat="1" ht="165.75" customHeight="1" x14ac:dyDescent="0.25">
      <c r="A21" s="683"/>
      <c r="B21" s="782"/>
      <c r="C21" s="784"/>
      <c r="D21" s="688"/>
      <c r="E21" s="346">
        <v>10</v>
      </c>
      <c r="F21" s="267" t="s">
        <v>830</v>
      </c>
      <c r="G21" s="263" t="s">
        <v>249</v>
      </c>
      <c r="H21" s="263" t="s">
        <v>251</v>
      </c>
      <c r="I21" s="330" t="s">
        <v>214</v>
      </c>
      <c r="J21" s="332" t="s">
        <v>218</v>
      </c>
      <c r="K21" s="219" t="s">
        <v>199</v>
      </c>
      <c r="L21" s="216">
        <v>365</v>
      </c>
      <c r="M21" s="306" t="str">
        <f t="shared" si="7"/>
        <v>Media</v>
      </c>
      <c r="N21" s="214">
        <f>IF(M21="","",IF(M21="Muy Baja",0.2,IF(M21="Baja",0.4,IF(M21="Media",0.6,IF(M21="Alta",0.8,IF(M21="Muy Alta",1,))))))</f>
        <v>0.6</v>
      </c>
      <c r="O21" s="376" t="s">
        <v>86</v>
      </c>
      <c r="P21" s="217" t="str">
        <f>IF(OR(O21='6.Tabla Impacto'!$C$11,O21='6.Tabla Impacto'!$D$11),"Leve",IF(OR(O21='6.Tabla Impacto'!$C$12,O21='6.Tabla Impacto'!$D$12),"Menor",IF(OR(O21='6.Tabla Impacto'!$C$13,O21='6.Tabla Impacto'!$D$13),"Moderado",IF(OR(O21='6.Tabla Impacto'!$C$14,O21:O21='6.Tabla Impacto'!$D$14),"Mayor",IF(OR(O21='6.Tabla Impacto'!$C$15,O21='6.Tabla Impacto'!$D$15),"Catastrófico","")))))</f>
        <v>Menor</v>
      </c>
      <c r="Q21" s="214">
        <f>IF(P21="","",IF(P21="Leve",0.2,IF(P21="Menor",0.4,IF(P21="Moderado",0.6,IF(P21="Mayor",0.8,IF(P21="Catastrófico",1,))))))</f>
        <v>0.4</v>
      </c>
      <c r="R21" s="215" t="str">
        <f>IF(OR(AND(M21="Muy Baja",P21="Leve"),AND(M21="Muy Baja",P21="Menor"),AND(M21="Baja",P21="Leve")),"Bajo",IF(OR(AND(M21="Muy baja",P21="Moderado"),AND(M21="Baja",P21="Menor"),AND(M21="Baja",P21="Moderado"),AND(M21="Media",P21="Leve"),AND(M21="Media",P21="Menor"),AND(M21="Media",P21="Moderado"),AND(M21="Alta",P21="Leve"),AND(M21="Alta",P21="Menor")),"Moderado",IF(OR(AND(M21="Muy Baja",P21="Mayor"),AND(M21="Baja",P21="Mayor"),AND(M21="Media",P21="Mayor"),AND(M21="Alta",P21="Moderado"),AND(M21="Alta",P21="Mayor"),AND(M21="Muy Alta",P21="Leve"),AND(M21="Muy Alta",P21="Menor"),AND(M21="Muy Alta",P21="Moderado"),AND(M21="Muy Alta",P21="Mayor")),"Alto",IF(OR(AND(M21="Muy Baja",P21="Catastrófico"),AND(M21="Baja",P21="Catastrófico"),AND(M21="Media",P21="Catastrófico"),AND(M21="Alta",P21="Catastrófico"),AND(M21="Muy Alta",P21="Catastrófico")),"Extremo",""))))</f>
        <v>Moderado</v>
      </c>
      <c r="S21" s="219">
        <v>1</v>
      </c>
      <c r="T21" s="267" t="s">
        <v>253</v>
      </c>
      <c r="U21" s="140" t="s">
        <v>1</v>
      </c>
      <c r="V21" s="248" t="s">
        <v>12</v>
      </c>
      <c r="W21" s="248" t="s">
        <v>7</v>
      </c>
      <c r="X21" s="139" t="str">
        <f t="shared" si="3"/>
        <v>40%</v>
      </c>
      <c r="Y21" s="248" t="s">
        <v>17</v>
      </c>
      <c r="Z21" s="248" t="s">
        <v>20</v>
      </c>
      <c r="AA21" s="248" t="s">
        <v>105</v>
      </c>
      <c r="AB21" s="245"/>
      <c r="AC21" s="364" t="s">
        <v>671</v>
      </c>
      <c r="AD21" s="141">
        <f>IFERROR(IF(U21="Probabilidad",(N21-(+N21*X21)),IF(U21="Impacto",N21,"")),"")</f>
        <v>0.6</v>
      </c>
      <c r="AE21" s="342" t="str">
        <f t="shared" si="4"/>
        <v>Media</v>
      </c>
      <c r="AF21" s="139">
        <f t="shared" si="13"/>
        <v>0.6</v>
      </c>
      <c r="AG21" s="143" t="s">
        <v>68</v>
      </c>
      <c r="AH21" s="139">
        <v>0.6</v>
      </c>
      <c r="AI21" s="213" t="s">
        <v>68</v>
      </c>
      <c r="AJ21" s="213" t="str">
        <f t="shared" si="14"/>
        <v>Moderado</v>
      </c>
      <c r="AK21" s="248" t="s">
        <v>119</v>
      </c>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row>
    <row r="22" spans="1:80" s="66" customFormat="1" ht="126.75" customHeight="1" x14ac:dyDescent="0.25">
      <c r="A22" s="684" t="s">
        <v>532</v>
      </c>
      <c r="B22" s="780">
        <v>4</v>
      </c>
      <c r="C22" s="783" t="s">
        <v>254</v>
      </c>
      <c r="D22" s="687" t="s">
        <v>591</v>
      </c>
      <c r="E22" s="658">
        <v>11</v>
      </c>
      <c r="F22" s="670" t="s">
        <v>831</v>
      </c>
      <c r="G22" s="575" t="s">
        <v>556</v>
      </c>
      <c r="H22" s="575" t="s">
        <v>403</v>
      </c>
      <c r="I22" s="653" t="s">
        <v>213</v>
      </c>
      <c r="J22" s="592" t="s">
        <v>232</v>
      </c>
      <c r="K22" s="594" t="s">
        <v>199</v>
      </c>
      <c r="L22" s="773">
        <v>12030</v>
      </c>
      <c r="M22" s="565" t="str">
        <f>IF(L22&lt;=0,"",IF(L22&lt;=2,"Muy Baja",IF(L22&lt;=24,"Baja",IF(L22&lt;=500,"Media",IF(L22&lt;=5000,"Alta","Muy Alta")))))</f>
        <v>Muy Alta</v>
      </c>
      <c r="N22" s="567">
        <f>IF(M22="","",IF(M22="Muy Baja",0.2,IF(M22="Baja",0.4,IF(M22="Media",0.6,IF(M22="Alta",0.8,IF(M22="Muy Alta",1,))))))</f>
        <v>1</v>
      </c>
      <c r="O22" s="707" t="s">
        <v>104</v>
      </c>
      <c r="P22" s="565" t="str">
        <f>IF(OR(O22='6.Tabla Impacto'!$C$11,O22='6.Tabla Impacto'!$D$11),"Leve",IF(OR(O22='6.Tabla Impacto'!$C$12,O22='6.Tabla Impacto'!$D$12),"Menor",IF(OR(O22='6.Tabla Impacto'!$C$13,O22='6.Tabla Impacto'!$D$13),"Moderado",IF(OR(O22='6.Tabla Impacto'!$C$14,O22:O22='6.Tabla Impacto'!$D$14),"Mayor",IF(OR(O22='6.Tabla Impacto'!$C$15,O22='6.Tabla Impacto'!$D$15),"Catastrófico","")))))</f>
        <v>Mayor</v>
      </c>
      <c r="Q22" s="567">
        <f>IF(P22="","",IF(P22="Leve",0.2,IF(P22="Menor",0.4,IF(P22="Moderado",0.6,IF(P22="Mayor",0.8,IF(P22="Catastrófico",1,))))))</f>
        <v>0.8</v>
      </c>
      <c r="R22" s="562" t="str">
        <f>IF(OR(AND(M22="Muy Baja",P22="Leve"),AND(M22="Muy Baja",P22="Menor"),AND(M22="Baja",P22="Leve")),"Bajo",IF(OR(AND(M22="Muy baja",P22="Moderado"),AND(M22="Baja",P22="Menor"),AND(M22="Baja",P22="Moderado"),AND(M22="Media",P22="Leve"),AND(M22="Media",P22="Menor"),AND(M22="Media",P22="Moderado"),AND(M22="Alta",P22="Leve"),AND(M22="Alta",P22="Menor")),"Moderado",IF(OR(AND(M22="Muy Baja",P22="Mayor"),AND(M22="Baja",P22="Mayor"),AND(M22="Media",P22="Mayor"),AND(M22="Alta",P22="Moderado"),AND(M22="Alta",P22="Mayor"),AND(M22="Muy Alta",P22="Leve"),AND(M22="Muy Alta",P22="Menor"),AND(M22="Muy Alta",P22="Moderado"),AND(M22="Muy Alta",P22="Mayor")),"Alto",IF(OR(AND(M22="Muy Baja",P22="Catastrófico"),AND(M22="Baja",P22="Catastrófico"),AND(M22="Media",P22="Catastrófico"),AND(M22="Alta",P22="Catastrófico"),AND(M22="Muy Alta",P22="Catastrófico")),"Extremo",""))))</f>
        <v>Alto</v>
      </c>
      <c r="S22" s="219">
        <v>1</v>
      </c>
      <c r="T22" s="267" t="s">
        <v>612</v>
      </c>
      <c r="U22" s="140" t="s">
        <v>1</v>
      </c>
      <c r="V22" s="248" t="s">
        <v>411</v>
      </c>
      <c r="W22" s="248" t="s">
        <v>7</v>
      </c>
      <c r="X22" s="139" t="str">
        <f t="shared" si="3"/>
        <v>40%</v>
      </c>
      <c r="Y22" s="248" t="s">
        <v>17</v>
      </c>
      <c r="Z22" s="248" t="s">
        <v>20</v>
      </c>
      <c r="AA22" s="248" t="s">
        <v>105</v>
      </c>
      <c r="AB22" s="245"/>
      <c r="AC22" s="364" t="s">
        <v>410</v>
      </c>
      <c r="AD22" s="141">
        <f>IFERROR(IF(U22="Probabilidad",(N22-(+N22*X22)),IF(U22="Impacto",N22,"")),"")</f>
        <v>1</v>
      </c>
      <c r="AE22" s="342" t="s">
        <v>4</v>
      </c>
      <c r="AF22" s="139">
        <f t="shared" si="13"/>
        <v>1</v>
      </c>
      <c r="AG22" s="143" t="str">
        <f>IFERROR(IF(AH22="","",IF(AH22&lt;=0.2,"Leve",IF(AH22&lt;=0.4,"Menor",IF(AH22&lt;=0.6,"Moderado",IF(AH22&lt;=0.8,"Mayor","Catastrófico"))))),"")</f>
        <v>Moderado</v>
      </c>
      <c r="AH22" s="139">
        <v>0.6</v>
      </c>
      <c r="AI22" s="213" t="s">
        <v>67</v>
      </c>
      <c r="AJ22" s="213" t="s">
        <v>67</v>
      </c>
      <c r="AK22" s="248" t="s">
        <v>119</v>
      </c>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row>
    <row r="23" spans="1:80" s="66" customFormat="1" ht="87" customHeight="1" x14ac:dyDescent="0.25">
      <c r="A23" s="685"/>
      <c r="B23" s="781"/>
      <c r="C23" s="784"/>
      <c r="D23" s="688"/>
      <c r="E23" s="692"/>
      <c r="F23" s="671"/>
      <c r="G23" s="742"/>
      <c r="H23" s="742"/>
      <c r="I23" s="661"/>
      <c r="J23" s="647"/>
      <c r="K23" s="609"/>
      <c r="L23" s="774"/>
      <c r="M23" s="572"/>
      <c r="N23" s="571"/>
      <c r="O23" s="743"/>
      <c r="P23" s="572"/>
      <c r="Q23" s="571"/>
      <c r="R23" s="563"/>
      <c r="S23" s="219">
        <v>2</v>
      </c>
      <c r="T23" s="267" t="s">
        <v>672</v>
      </c>
      <c r="U23" s="140" t="s">
        <v>1</v>
      </c>
      <c r="V23" s="248" t="s">
        <v>411</v>
      </c>
      <c r="W23" s="248" t="s">
        <v>7</v>
      </c>
      <c r="X23" s="139" t="str">
        <f t="shared" si="3"/>
        <v>40%</v>
      </c>
      <c r="Y23" s="248" t="s">
        <v>17</v>
      </c>
      <c r="Z23" s="248" t="s">
        <v>20</v>
      </c>
      <c r="AA23" s="248" t="s">
        <v>105</v>
      </c>
      <c r="AB23" s="245"/>
      <c r="AC23" s="364" t="s">
        <v>614</v>
      </c>
      <c r="AD23" s="141">
        <v>1</v>
      </c>
      <c r="AE23" s="342" t="s">
        <v>4</v>
      </c>
      <c r="AF23" s="139">
        <f t="shared" si="13"/>
        <v>1</v>
      </c>
      <c r="AG23" s="143" t="str">
        <f>IFERROR(IF(AH23="","",IF(AH23&lt;=0.2,"Leve",IF(AH23&lt;=0.4,"Menor",IF(AH23&lt;=0.6,"Moderado",IF(AH23&lt;=0.8,"Mayor","Catastrófico"))))),"")</f>
        <v>Moderado</v>
      </c>
      <c r="AH23" s="139">
        <v>0.6</v>
      </c>
      <c r="AI23" s="213" t="str">
        <f t="shared" ref="AI23:AI40" si="15">IFERROR(IF(OR(AND(AE22="Muy Baja",AG23="Leve"),AND(AE22="Muy Baja",AG23="Menor"),AND(AE22="Baja",AG23="Leve")),"Bajo",IF(OR(AND(AE22="Muy baja",AG23="Moderado"),AND(AE22="Baja",AG23="Menor"),AND(AE22="Baja",AG23="Moderado"),AND(AE22="Media",AG23="Leve"),AND(AE22="Media",AG23="Menor"),AND(AE22="Media",AG23="Moderado"),AND(AE22="Alta",AG23="Leve"),AND(AE22="Alta",AG23="Menor")),"Moderado",IF(OR(AND(AE22="Muy Baja",AG23="Mayor"),AND(AE22="Baja",AG23="Mayor"),AND(AE22="Media",AG23="Mayor"),AND(AE22="Alta",AG23="Moderado"),AND(AE22="Alta",AG23="Mayor"),AND(AE22="Muy Alta",AG23="Leve"),AND(AE22="Muy Alta",AG23="Menor"),AND(AE22="Muy Alta",AG23="Moderado"),AND(AE22="Muy Alta",AG23="Mayor")),"Alto",IF(OR(AND(AE22="Muy Baja",AG23="Catastrófico"),AND(AE22="Baja",AG23="Catastrófico"),AND(AE22="Media",AG23="Catastrófico"),AND(AE22="Alta",AG23="Catastrófico"),AND(AE22="Muy Alta",AG23="Catastrófico")),"Extremo","")))),"")</f>
        <v>Alto</v>
      </c>
      <c r="AJ23" s="213" t="s">
        <v>67</v>
      </c>
      <c r="AK23" s="248" t="s">
        <v>119</v>
      </c>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row>
    <row r="24" spans="1:80" s="66" customFormat="1" ht="208.5" customHeight="1" x14ac:dyDescent="0.25">
      <c r="A24" s="685"/>
      <c r="B24" s="781"/>
      <c r="C24" s="784"/>
      <c r="D24" s="688"/>
      <c r="E24" s="692"/>
      <c r="F24" s="671"/>
      <c r="G24" s="742"/>
      <c r="H24" s="742"/>
      <c r="I24" s="661"/>
      <c r="J24" s="647"/>
      <c r="K24" s="609"/>
      <c r="L24" s="774"/>
      <c r="M24" s="572"/>
      <c r="N24" s="571"/>
      <c r="O24" s="743"/>
      <c r="P24" s="572"/>
      <c r="Q24" s="571"/>
      <c r="R24" s="563"/>
      <c r="S24" s="219">
        <v>3</v>
      </c>
      <c r="T24" s="267" t="s">
        <v>477</v>
      </c>
      <c r="U24" s="140" t="s">
        <v>1</v>
      </c>
      <c r="V24" s="248" t="s">
        <v>411</v>
      </c>
      <c r="W24" s="248" t="s">
        <v>7</v>
      </c>
      <c r="X24" s="139" t="str">
        <f t="shared" si="3"/>
        <v>40%</v>
      </c>
      <c r="Y24" s="248" t="s">
        <v>17</v>
      </c>
      <c r="Z24" s="248" t="s">
        <v>20</v>
      </c>
      <c r="AA24" s="248" t="s">
        <v>105</v>
      </c>
      <c r="AB24" s="245"/>
      <c r="AC24" s="364" t="s">
        <v>505</v>
      </c>
      <c r="AD24" s="141">
        <v>1</v>
      </c>
      <c r="AE24" s="142" t="s">
        <v>4</v>
      </c>
      <c r="AF24" s="139">
        <f t="shared" si="13"/>
        <v>1</v>
      </c>
      <c r="AG24" s="143" t="str">
        <f>IFERROR(IF(AH24="","",IF(AH24&lt;=0.2,"Leve",IF(AH24&lt;=0.4,"Menor",IF(AH24&lt;=0.6,"Moderado",IF(AH24&lt;=0.8,"Mayor","Catastrófico"))))),"")</f>
        <v>Moderado</v>
      </c>
      <c r="AH24" s="139">
        <v>0.6</v>
      </c>
      <c r="AI24" s="213" t="str">
        <f t="shared" si="15"/>
        <v>Alto</v>
      </c>
      <c r="AJ24" s="213" t="s">
        <v>67</v>
      </c>
      <c r="AK24" s="248" t="s">
        <v>119</v>
      </c>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5"/>
      <c r="BY24" s="65"/>
      <c r="BZ24" s="65"/>
      <c r="CA24" s="65"/>
      <c r="CB24" s="65"/>
    </row>
    <row r="25" spans="1:80" s="66" customFormat="1" ht="85.5" customHeight="1" x14ac:dyDescent="0.25">
      <c r="A25" s="685"/>
      <c r="B25" s="781"/>
      <c r="C25" s="784"/>
      <c r="D25" s="688"/>
      <c r="E25" s="659"/>
      <c r="F25" s="672"/>
      <c r="G25" s="576"/>
      <c r="H25" s="576"/>
      <c r="I25" s="654"/>
      <c r="J25" s="655"/>
      <c r="K25" s="595"/>
      <c r="L25" s="775"/>
      <c r="M25" s="566"/>
      <c r="N25" s="568"/>
      <c r="O25" s="708"/>
      <c r="P25" s="566"/>
      <c r="Q25" s="568"/>
      <c r="R25" s="564"/>
      <c r="S25" s="219">
        <v>4</v>
      </c>
      <c r="T25" s="267" t="s">
        <v>613</v>
      </c>
      <c r="U25" s="140" t="s">
        <v>2</v>
      </c>
      <c r="V25" s="248" t="s">
        <v>411</v>
      </c>
      <c r="W25" s="248" t="s">
        <v>7</v>
      </c>
      <c r="X25" s="139" t="str">
        <f t="shared" si="3"/>
        <v>40%</v>
      </c>
      <c r="Y25" s="248" t="s">
        <v>17</v>
      </c>
      <c r="Z25" s="248" t="s">
        <v>20</v>
      </c>
      <c r="AA25" s="248" t="s">
        <v>105</v>
      </c>
      <c r="AB25" s="245"/>
      <c r="AC25" s="364" t="s">
        <v>615</v>
      </c>
      <c r="AD25" s="141">
        <v>1</v>
      </c>
      <c r="AE25" s="142" t="s">
        <v>4</v>
      </c>
      <c r="AF25" s="139">
        <f t="shared" si="13"/>
        <v>1</v>
      </c>
      <c r="AG25" s="143" t="str">
        <f t="shared" ref="AG25:AG49" si="16">IFERROR(IF(AH25="","",IF(AH25&lt;=0.2,"Leve",IF(AH25&lt;=0.4,"Menor",IF(AH25&lt;=0.6,"Moderado",IF(AH25&lt;=0.8,"Mayor","Catastrófico"))))),"")</f>
        <v>Moderado</v>
      </c>
      <c r="AH25" s="139">
        <v>0.6</v>
      </c>
      <c r="AI25" s="213" t="str">
        <f t="shared" si="15"/>
        <v>Alto</v>
      </c>
      <c r="AJ25" s="213" t="s">
        <v>67</v>
      </c>
      <c r="AK25" s="248" t="s">
        <v>119</v>
      </c>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c r="BW25" s="65"/>
      <c r="BX25" s="65"/>
      <c r="BY25" s="65"/>
      <c r="BZ25" s="65"/>
      <c r="CA25" s="65"/>
      <c r="CB25" s="65"/>
    </row>
    <row r="26" spans="1:80" s="66" customFormat="1" ht="85.5" customHeight="1" x14ac:dyDescent="0.25">
      <c r="A26" s="685"/>
      <c r="B26" s="781"/>
      <c r="C26" s="784"/>
      <c r="D26" s="688"/>
      <c r="E26" s="658">
        <v>12</v>
      </c>
      <c r="F26" s="670" t="s">
        <v>832</v>
      </c>
      <c r="G26" s="575" t="s">
        <v>592</v>
      </c>
      <c r="H26" s="575" t="s">
        <v>403</v>
      </c>
      <c r="I26" s="653" t="s">
        <v>213</v>
      </c>
      <c r="J26" s="592" t="s">
        <v>232</v>
      </c>
      <c r="K26" s="594" t="s">
        <v>199</v>
      </c>
      <c r="L26" s="773">
        <v>12030</v>
      </c>
      <c r="M26" s="565" t="s">
        <v>42</v>
      </c>
      <c r="N26" s="567">
        <v>1</v>
      </c>
      <c r="O26" s="707" t="s">
        <v>104</v>
      </c>
      <c r="P26" s="565" t="s">
        <v>5</v>
      </c>
      <c r="Q26" s="567">
        <f>IF(P26="","",IF(P26="Leve",0.2,IF(P26="Menor",0.4,IF(P26="Moderado",0.6,IF(P26="Mayor",0.8,IF(P26="Catastrófico",1,))))))</f>
        <v>0.8</v>
      </c>
      <c r="R26" s="562" t="str">
        <f>IF(OR(AND(M26="Muy Baja",P26="Leve"),AND(M26="Muy Baja",P26="Menor"),AND(M26="Baja",P26="Leve")),"Bajo",IF(OR(AND(M26="Muy baja",P26="Moderado"),AND(M26="Baja",P26="Menor"),AND(M26="Baja",P26="Moderado"),AND(M26="Media",P26="Leve"),AND(M26="Media",P26="Menor"),AND(M26="Media",P26="Moderado"),AND(M26="Alta",P26="Leve"),AND(M26="Alta",P26="Menor")),"Moderado",IF(OR(AND(M26="Muy Baja",P26="Mayor"),AND(M26="Baja",P26="Mayor"),AND(M26="Media",P26="Mayor"),AND(M26="Alta",P26="Moderado"),AND(M26="Alta",P26="Mayor"),AND(M26="Muy Alta",P26="Leve"),AND(M26="Muy Alta",P26="Menor"),AND(M26="Muy Alta",P26="Moderado"),AND(M26="Muy Alta",P26="Mayor")),"Alto",IF(OR(AND(M26="Muy Baja",P26="Catastrófico"),AND(M26="Baja",P26="Catastrófico"),AND(M26="Media",P26="Catastrófico"),AND(M26="Alta",P26="Catastrófico"),AND(M26="Muy Alta",P26="Catastrófico")),"Extremo",""))))</f>
        <v>Alto</v>
      </c>
      <c r="S26" s="219">
        <v>1</v>
      </c>
      <c r="T26" s="267" t="s">
        <v>616</v>
      </c>
      <c r="U26" s="140" t="s">
        <v>2</v>
      </c>
      <c r="V26" s="248" t="s">
        <v>411</v>
      </c>
      <c r="W26" s="248" t="s">
        <v>7</v>
      </c>
      <c r="X26" s="139" t="str">
        <f t="shared" si="3"/>
        <v>40%</v>
      </c>
      <c r="Y26" s="248" t="s">
        <v>17</v>
      </c>
      <c r="Z26" s="248" t="s">
        <v>20</v>
      </c>
      <c r="AA26" s="248" t="s">
        <v>105</v>
      </c>
      <c r="AB26" s="245"/>
      <c r="AC26" s="364" t="s">
        <v>410</v>
      </c>
      <c r="AD26" s="141">
        <v>1</v>
      </c>
      <c r="AE26" s="142" t="s">
        <v>4</v>
      </c>
      <c r="AF26" s="139">
        <f t="shared" si="13"/>
        <v>1</v>
      </c>
      <c r="AG26" s="143" t="str">
        <f t="shared" si="16"/>
        <v>Moderado</v>
      </c>
      <c r="AH26" s="139">
        <v>0.6</v>
      </c>
      <c r="AI26" s="213" t="str">
        <f t="shared" si="15"/>
        <v>Alto</v>
      </c>
      <c r="AJ26" s="213" t="s">
        <v>67</v>
      </c>
      <c r="AK26" s="248" t="s">
        <v>119</v>
      </c>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c r="CB26" s="65"/>
    </row>
    <row r="27" spans="1:80" s="66" customFormat="1" ht="109.5" customHeight="1" x14ac:dyDescent="0.25">
      <c r="A27" s="685"/>
      <c r="B27" s="781"/>
      <c r="C27" s="784"/>
      <c r="D27" s="688"/>
      <c r="E27" s="692"/>
      <c r="F27" s="671"/>
      <c r="G27" s="742"/>
      <c r="H27" s="742"/>
      <c r="I27" s="661"/>
      <c r="J27" s="647"/>
      <c r="K27" s="609"/>
      <c r="L27" s="774"/>
      <c r="M27" s="572"/>
      <c r="N27" s="571"/>
      <c r="O27" s="743"/>
      <c r="P27" s="572"/>
      <c r="Q27" s="571"/>
      <c r="R27" s="563"/>
      <c r="S27" s="219">
        <v>2</v>
      </c>
      <c r="T27" s="267" t="s">
        <v>675</v>
      </c>
      <c r="U27" s="140" t="s">
        <v>2</v>
      </c>
      <c r="V27" s="248" t="s">
        <v>411</v>
      </c>
      <c r="W27" s="248" t="s">
        <v>7</v>
      </c>
      <c r="X27" s="139" t="str">
        <f t="shared" si="3"/>
        <v>40%</v>
      </c>
      <c r="Y27" s="248" t="s">
        <v>17</v>
      </c>
      <c r="Z27" s="248" t="s">
        <v>20</v>
      </c>
      <c r="AA27" s="248" t="s">
        <v>105</v>
      </c>
      <c r="AB27" s="245"/>
      <c r="AC27" s="364" t="s">
        <v>627</v>
      </c>
      <c r="AD27" s="141">
        <v>1</v>
      </c>
      <c r="AE27" s="142" t="s">
        <v>4</v>
      </c>
      <c r="AF27" s="139">
        <f t="shared" si="13"/>
        <v>1</v>
      </c>
      <c r="AG27" s="143" t="str">
        <f t="shared" si="16"/>
        <v>Moderado</v>
      </c>
      <c r="AH27" s="139">
        <v>0.6</v>
      </c>
      <c r="AI27" s="213" t="str">
        <f t="shared" si="15"/>
        <v>Alto</v>
      </c>
      <c r="AJ27" s="213" t="s">
        <v>67</v>
      </c>
      <c r="AK27" s="248" t="s">
        <v>119</v>
      </c>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c r="BW27" s="65"/>
      <c r="BX27" s="65"/>
      <c r="BY27" s="65"/>
      <c r="BZ27" s="65"/>
      <c r="CA27" s="65"/>
      <c r="CB27" s="65"/>
    </row>
    <row r="28" spans="1:80" s="66" customFormat="1" ht="123" customHeight="1" x14ac:dyDescent="0.25">
      <c r="A28" s="685"/>
      <c r="B28" s="781"/>
      <c r="C28" s="784"/>
      <c r="D28" s="689"/>
      <c r="E28" s="659"/>
      <c r="F28" s="672"/>
      <c r="G28" s="576"/>
      <c r="H28" s="576"/>
      <c r="I28" s="654"/>
      <c r="J28" s="655"/>
      <c r="K28" s="595"/>
      <c r="L28" s="775"/>
      <c r="M28" s="566"/>
      <c r="N28" s="568"/>
      <c r="O28" s="708"/>
      <c r="P28" s="566"/>
      <c r="Q28" s="568"/>
      <c r="R28" s="563"/>
      <c r="S28" s="266">
        <v>3</v>
      </c>
      <c r="T28" s="267" t="s">
        <v>617</v>
      </c>
      <c r="U28" s="140" t="s">
        <v>2</v>
      </c>
      <c r="V28" s="248" t="s">
        <v>411</v>
      </c>
      <c r="W28" s="248" t="s">
        <v>7</v>
      </c>
      <c r="X28" s="139" t="str">
        <f t="shared" si="3"/>
        <v>40%</v>
      </c>
      <c r="Y28" s="248" t="s">
        <v>17</v>
      </c>
      <c r="Z28" s="248" t="s">
        <v>20</v>
      </c>
      <c r="AA28" s="248" t="s">
        <v>105</v>
      </c>
      <c r="AB28" s="245"/>
      <c r="AC28" s="364" t="s">
        <v>618</v>
      </c>
      <c r="AD28" s="141">
        <v>1</v>
      </c>
      <c r="AE28" s="142" t="s">
        <v>4</v>
      </c>
      <c r="AF28" s="139">
        <f t="shared" si="13"/>
        <v>1</v>
      </c>
      <c r="AG28" s="143" t="str">
        <f t="shared" si="16"/>
        <v>Moderado</v>
      </c>
      <c r="AH28" s="139">
        <v>0.6</v>
      </c>
      <c r="AI28" s="213" t="str">
        <f t="shared" si="15"/>
        <v>Alto</v>
      </c>
      <c r="AJ28" s="213" t="s">
        <v>67</v>
      </c>
      <c r="AK28" s="248" t="s">
        <v>119</v>
      </c>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5"/>
      <c r="BW28" s="65"/>
      <c r="BX28" s="65"/>
      <c r="BY28" s="65"/>
      <c r="BZ28" s="65"/>
      <c r="CA28" s="65"/>
      <c r="CB28" s="65"/>
    </row>
    <row r="29" spans="1:80" s="66" customFormat="1" ht="112.5" customHeight="1" x14ac:dyDescent="0.25">
      <c r="A29" s="685"/>
      <c r="B29" s="781"/>
      <c r="C29" s="784"/>
      <c r="D29" s="687" t="s">
        <v>589</v>
      </c>
      <c r="E29" s="692">
        <v>13</v>
      </c>
      <c r="F29" s="670" t="s">
        <v>831</v>
      </c>
      <c r="G29" s="575" t="s">
        <v>556</v>
      </c>
      <c r="H29" s="575" t="s">
        <v>403</v>
      </c>
      <c r="I29" s="653" t="s">
        <v>213</v>
      </c>
      <c r="J29" s="592" t="s">
        <v>232</v>
      </c>
      <c r="K29" s="594" t="s">
        <v>199</v>
      </c>
      <c r="L29" s="773">
        <v>5480</v>
      </c>
      <c r="M29" s="565" t="s">
        <v>42</v>
      </c>
      <c r="N29" s="567">
        <v>1</v>
      </c>
      <c r="O29" s="707" t="s">
        <v>104</v>
      </c>
      <c r="P29" s="565" t="s">
        <v>5</v>
      </c>
      <c r="Q29" s="571">
        <v>0.8</v>
      </c>
      <c r="R29" s="563" t="s">
        <v>67</v>
      </c>
      <c r="S29" s="219">
        <v>1</v>
      </c>
      <c r="T29" s="267" t="s">
        <v>612</v>
      </c>
      <c r="U29" s="140" t="s">
        <v>2</v>
      </c>
      <c r="V29" s="248" t="s">
        <v>411</v>
      </c>
      <c r="W29" s="248" t="s">
        <v>7</v>
      </c>
      <c r="X29" s="139" t="str">
        <f t="shared" si="3"/>
        <v>40%</v>
      </c>
      <c r="Y29" s="248" t="s">
        <v>17</v>
      </c>
      <c r="Z29" s="248" t="s">
        <v>20</v>
      </c>
      <c r="AA29" s="248" t="s">
        <v>105</v>
      </c>
      <c r="AB29" s="245"/>
      <c r="AC29" s="364" t="s">
        <v>410</v>
      </c>
      <c r="AD29" s="141">
        <v>1</v>
      </c>
      <c r="AE29" s="142" t="s">
        <v>4</v>
      </c>
      <c r="AF29" s="139">
        <f t="shared" si="13"/>
        <v>1</v>
      </c>
      <c r="AG29" s="143" t="str">
        <f t="shared" si="16"/>
        <v>Moderado</v>
      </c>
      <c r="AH29" s="139">
        <v>0.6</v>
      </c>
      <c r="AI29" s="213" t="str">
        <f>IFERROR(IF(OR(AND(AE27="Muy Baja",AG29="Leve"),AND(AE27="Muy Baja",AG29="Menor"),AND(AE27="Baja",AG29="Leve")),"Bajo",IF(OR(AND(AE27="Muy baja",AG29="Moderado"),AND(AE27="Baja",AG29="Menor"),AND(AE27="Baja",AG29="Moderado"),AND(AE27="Media",AG29="Leve"),AND(AE27="Media",AG29="Menor"),AND(AE27="Media",AG29="Moderado"),AND(AE27="Alta",AG29="Leve"),AND(AE27="Alta",AG29="Menor")),"Moderado",IF(OR(AND(AE27="Muy Baja",AG29="Mayor"),AND(AE27="Baja",AG29="Mayor"),AND(AE27="Media",AG29="Mayor"),AND(AE27="Alta",AG29="Moderado"),AND(AE27="Alta",AG29="Mayor"),AND(AE27="Muy Alta",AG29="Leve"),AND(AE27="Muy Alta",AG29="Menor"),AND(AE27="Muy Alta",AG29="Moderado"),AND(AE27="Muy Alta",AG29="Mayor")),"Alto",IF(OR(AND(AE27="Muy Baja",AG29="Catastrófico"),AND(AE27="Baja",AG29="Catastrófico"),AND(AE27="Media",AG29="Catastrófico"),AND(AE27="Alta",AG29="Catastrófico"),AND(AE27="Muy Alta",AG29="Catastrófico")),"Extremo","")))),"")</f>
        <v>Alto</v>
      </c>
      <c r="AJ29" s="213" t="s">
        <v>67</v>
      </c>
      <c r="AK29" s="248" t="s">
        <v>119</v>
      </c>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c r="BW29" s="65"/>
      <c r="BX29" s="65"/>
      <c r="BY29" s="65"/>
      <c r="BZ29" s="65"/>
      <c r="CA29" s="65"/>
      <c r="CB29" s="65"/>
    </row>
    <row r="30" spans="1:80" s="66" customFormat="1" ht="85.5" customHeight="1" x14ac:dyDescent="0.25">
      <c r="A30" s="685"/>
      <c r="B30" s="781"/>
      <c r="C30" s="784"/>
      <c r="D30" s="688"/>
      <c r="E30" s="692"/>
      <c r="F30" s="671"/>
      <c r="G30" s="742"/>
      <c r="H30" s="742"/>
      <c r="I30" s="661"/>
      <c r="J30" s="647"/>
      <c r="K30" s="609"/>
      <c r="L30" s="774"/>
      <c r="M30" s="572"/>
      <c r="N30" s="571"/>
      <c r="O30" s="743"/>
      <c r="P30" s="572"/>
      <c r="Q30" s="571"/>
      <c r="R30" s="563"/>
      <c r="S30" s="219">
        <v>2</v>
      </c>
      <c r="T30" s="267" t="s">
        <v>673</v>
      </c>
      <c r="U30" s="140" t="s">
        <v>2</v>
      </c>
      <c r="V30" s="248" t="s">
        <v>411</v>
      </c>
      <c r="W30" s="248" t="s">
        <v>7</v>
      </c>
      <c r="X30" s="139" t="str">
        <f t="shared" si="3"/>
        <v>40%</v>
      </c>
      <c r="Y30" s="248" t="s">
        <v>17</v>
      </c>
      <c r="Z30" s="248" t="s">
        <v>20</v>
      </c>
      <c r="AA30" s="248" t="s">
        <v>105</v>
      </c>
      <c r="AB30" s="245"/>
      <c r="AC30" s="364" t="s">
        <v>585</v>
      </c>
      <c r="AD30" s="141">
        <v>1</v>
      </c>
      <c r="AE30" s="142" t="s">
        <v>4</v>
      </c>
      <c r="AF30" s="139">
        <f t="shared" si="13"/>
        <v>1</v>
      </c>
      <c r="AG30" s="143" t="str">
        <f t="shared" si="16"/>
        <v>Moderado</v>
      </c>
      <c r="AH30" s="139">
        <v>0.6</v>
      </c>
      <c r="AI30" s="213" t="str">
        <f t="shared" si="15"/>
        <v>Alto</v>
      </c>
      <c r="AJ30" s="213" t="s">
        <v>67</v>
      </c>
      <c r="AK30" s="248" t="s">
        <v>119</v>
      </c>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c r="BW30" s="65"/>
      <c r="BX30" s="65"/>
      <c r="BY30" s="65"/>
      <c r="BZ30" s="65"/>
      <c r="CA30" s="65"/>
      <c r="CB30" s="65"/>
    </row>
    <row r="31" spans="1:80" s="66" customFormat="1" ht="197.25" customHeight="1" x14ac:dyDescent="0.25">
      <c r="A31" s="685"/>
      <c r="B31" s="781"/>
      <c r="C31" s="784"/>
      <c r="D31" s="688"/>
      <c r="E31" s="692"/>
      <c r="F31" s="671"/>
      <c r="G31" s="742"/>
      <c r="H31" s="742"/>
      <c r="I31" s="661"/>
      <c r="J31" s="647"/>
      <c r="K31" s="609"/>
      <c r="L31" s="774"/>
      <c r="M31" s="572"/>
      <c r="N31" s="571"/>
      <c r="O31" s="743"/>
      <c r="P31" s="572"/>
      <c r="Q31" s="571"/>
      <c r="R31" s="563"/>
      <c r="S31" s="219">
        <v>3</v>
      </c>
      <c r="T31" s="267" t="s">
        <v>594</v>
      </c>
      <c r="U31" s="140" t="s">
        <v>2</v>
      </c>
      <c r="V31" s="248" t="s">
        <v>411</v>
      </c>
      <c r="W31" s="248" t="s">
        <v>7</v>
      </c>
      <c r="X31" s="139" t="str">
        <f t="shared" si="3"/>
        <v>40%</v>
      </c>
      <c r="Y31" s="248" t="s">
        <v>17</v>
      </c>
      <c r="Z31" s="248" t="s">
        <v>20</v>
      </c>
      <c r="AA31" s="248" t="s">
        <v>105</v>
      </c>
      <c r="AB31" s="268"/>
      <c r="AC31" s="364" t="s">
        <v>505</v>
      </c>
      <c r="AD31" s="141">
        <v>1</v>
      </c>
      <c r="AE31" s="142" t="s">
        <v>4</v>
      </c>
      <c r="AF31" s="139">
        <f t="shared" si="13"/>
        <v>1</v>
      </c>
      <c r="AG31" s="143" t="str">
        <f t="shared" si="16"/>
        <v>Moderado</v>
      </c>
      <c r="AH31" s="139">
        <v>0.6</v>
      </c>
      <c r="AI31" s="213" t="str">
        <f t="shared" si="15"/>
        <v>Alto</v>
      </c>
      <c r="AJ31" s="213" t="s">
        <v>67</v>
      </c>
      <c r="AK31" s="248" t="s">
        <v>119</v>
      </c>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row>
    <row r="32" spans="1:80" s="66" customFormat="1" ht="85.5" customHeight="1" x14ac:dyDescent="0.25">
      <c r="A32" s="685"/>
      <c r="B32" s="781"/>
      <c r="C32" s="784"/>
      <c r="D32" s="688"/>
      <c r="E32" s="659"/>
      <c r="F32" s="672"/>
      <c r="G32" s="576"/>
      <c r="H32" s="576"/>
      <c r="I32" s="654"/>
      <c r="J32" s="655"/>
      <c r="K32" s="595"/>
      <c r="L32" s="775"/>
      <c r="M32" s="566"/>
      <c r="N32" s="568"/>
      <c r="O32" s="708"/>
      <c r="P32" s="566"/>
      <c r="Q32" s="568"/>
      <c r="R32" s="564"/>
      <c r="S32" s="219">
        <v>4</v>
      </c>
      <c r="T32" s="267" t="s">
        <v>613</v>
      </c>
      <c r="U32" s="140" t="s">
        <v>2</v>
      </c>
      <c r="V32" s="248" t="s">
        <v>411</v>
      </c>
      <c r="W32" s="248" t="s">
        <v>7</v>
      </c>
      <c r="X32" s="139" t="str">
        <f t="shared" si="3"/>
        <v>40%</v>
      </c>
      <c r="Y32" s="248" t="s">
        <v>17</v>
      </c>
      <c r="Z32" s="248" t="s">
        <v>20</v>
      </c>
      <c r="AA32" s="248" t="s">
        <v>105</v>
      </c>
      <c r="AB32" s="245"/>
      <c r="AC32" s="364" t="s">
        <v>584</v>
      </c>
      <c r="AD32" s="141">
        <v>1</v>
      </c>
      <c r="AE32" s="142" t="s">
        <v>4</v>
      </c>
      <c r="AF32" s="139">
        <f t="shared" si="13"/>
        <v>1</v>
      </c>
      <c r="AG32" s="143" t="str">
        <f t="shared" si="16"/>
        <v>Moderado</v>
      </c>
      <c r="AH32" s="139">
        <v>0.6</v>
      </c>
      <c r="AI32" s="213" t="str">
        <f t="shared" si="15"/>
        <v>Alto</v>
      </c>
      <c r="AJ32" s="213" t="s">
        <v>67</v>
      </c>
      <c r="AK32" s="248" t="s">
        <v>119</v>
      </c>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5"/>
      <c r="BW32" s="65"/>
      <c r="BX32" s="65"/>
      <c r="BY32" s="65"/>
      <c r="BZ32" s="65"/>
      <c r="CA32" s="65"/>
      <c r="CB32" s="65"/>
    </row>
    <row r="33" spans="1:80" s="66" customFormat="1" ht="85.5" customHeight="1" x14ac:dyDescent="0.25">
      <c r="A33" s="685"/>
      <c r="B33" s="781"/>
      <c r="C33" s="784"/>
      <c r="D33" s="688"/>
      <c r="E33" s="658">
        <v>14</v>
      </c>
      <c r="F33" s="670" t="s">
        <v>832</v>
      </c>
      <c r="G33" s="575" t="s">
        <v>602</v>
      </c>
      <c r="H33" s="575" t="s">
        <v>403</v>
      </c>
      <c r="I33" s="653" t="s">
        <v>213</v>
      </c>
      <c r="J33" s="592" t="s">
        <v>232</v>
      </c>
      <c r="K33" s="594" t="s">
        <v>199</v>
      </c>
      <c r="L33" s="773">
        <v>5480</v>
      </c>
      <c r="M33" s="565" t="s">
        <v>42</v>
      </c>
      <c r="N33" s="567">
        <v>1</v>
      </c>
      <c r="O33" s="743" t="s">
        <v>104</v>
      </c>
      <c r="P33" s="565" t="s">
        <v>5</v>
      </c>
      <c r="Q33" s="567">
        <v>0.8</v>
      </c>
      <c r="R33" s="562" t="s">
        <v>67</v>
      </c>
      <c r="S33" s="219">
        <v>1</v>
      </c>
      <c r="T33" s="267" t="s">
        <v>674</v>
      </c>
      <c r="U33" s="140" t="s">
        <v>2</v>
      </c>
      <c r="V33" s="248" t="s">
        <v>411</v>
      </c>
      <c r="W33" s="248" t="s">
        <v>7</v>
      </c>
      <c r="X33" s="139" t="str">
        <f t="shared" si="3"/>
        <v>40%</v>
      </c>
      <c r="Y33" s="248" t="s">
        <v>17</v>
      </c>
      <c r="Z33" s="248" t="s">
        <v>20</v>
      </c>
      <c r="AA33" s="248" t="s">
        <v>105</v>
      </c>
      <c r="AB33" s="245"/>
      <c r="AC33" s="364" t="s">
        <v>410</v>
      </c>
      <c r="AD33" s="141">
        <v>1</v>
      </c>
      <c r="AE33" s="142" t="s">
        <v>4</v>
      </c>
      <c r="AF33" s="139">
        <f t="shared" si="13"/>
        <v>1</v>
      </c>
      <c r="AG33" s="143" t="str">
        <f t="shared" si="16"/>
        <v>Moderado</v>
      </c>
      <c r="AH33" s="139">
        <v>0.6</v>
      </c>
      <c r="AI33" s="213" t="str">
        <f t="shared" si="15"/>
        <v>Alto</v>
      </c>
      <c r="AJ33" s="213" t="s">
        <v>67</v>
      </c>
      <c r="AK33" s="248" t="s">
        <v>119</v>
      </c>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65"/>
      <c r="BW33" s="65"/>
      <c r="BX33" s="65"/>
      <c r="BY33" s="65"/>
      <c r="BZ33" s="65"/>
      <c r="CA33" s="65"/>
      <c r="CB33" s="65"/>
    </row>
    <row r="34" spans="1:80" s="66" customFormat="1" ht="90.75" customHeight="1" x14ac:dyDescent="0.25">
      <c r="A34" s="685"/>
      <c r="B34" s="781"/>
      <c r="C34" s="784"/>
      <c r="D34" s="689"/>
      <c r="E34" s="659"/>
      <c r="F34" s="672"/>
      <c r="G34" s="576"/>
      <c r="H34" s="576"/>
      <c r="I34" s="654"/>
      <c r="J34" s="655"/>
      <c r="K34" s="595"/>
      <c r="L34" s="775"/>
      <c r="M34" s="566"/>
      <c r="N34" s="568"/>
      <c r="O34" s="743"/>
      <c r="P34" s="566"/>
      <c r="Q34" s="568"/>
      <c r="R34" s="563"/>
      <c r="S34" s="219">
        <v>2</v>
      </c>
      <c r="T34" s="267" t="s">
        <v>675</v>
      </c>
      <c r="U34" s="140" t="s">
        <v>2</v>
      </c>
      <c r="V34" s="248" t="s">
        <v>411</v>
      </c>
      <c r="W34" s="248" t="s">
        <v>7</v>
      </c>
      <c r="X34" s="139" t="str">
        <f t="shared" si="3"/>
        <v>40%</v>
      </c>
      <c r="Y34" s="248" t="s">
        <v>17</v>
      </c>
      <c r="Z34" s="248" t="s">
        <v>20</v>
      </c>
      <c r="AA34" s="248" t="s">
        <v>105</v>
      </c>
      <c r="AB34" s="245"/>
      <c r="AC34" s="364" t="s">
        <v>606</v>
      </c>
      <c r="AD34" s="141">
        <v>1</v>
      </c>
      <c r="AE34" s="142" t="s">
        <v>4</v>
      </c>
      <c r="AF34" s="139">
        <f t="shared" si="13"/>
        <v>1</v>
      </c>
      <c r="AG34" s="143" t="str">
        <f t="shared" si="16"/>
        <v>Moderado</v>
      </c>
      <c r="AH34" s="139">
        <v>0.6</v>
      </c>
      <c r="AI34" s="213" t="str">
        <f t="shared" si="15"/>
        <v>Alto</v>
      </c>
      <c r="AJ34" s="213" t="s">
        <v>67</v>
      </c>
      <c r="AK34" s="248" t="s">
        <v>119</v>
      </c>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V34" s="65"/>
      <c r="BW34" s="65"/>
      <c r="BX34" s="65"/>
      <c r="BY34" s="65"/>
      <c r="BZ34" s="65"/>
      <c r="CA34" s="65"/>
      <c r="CB34" s="65"/>
    </row>
    <row r="35" spans="1:80" s="66" customFormat="1" ht="115.5" customHeight="1" x14ac:dyDescent="0.25">
      <c r="A35" s="685"/>
      <c r="B35" s="781"/>
      <c r="C35" s="784"/>
      <c r="D35" s="687" t="s">
        <v>590</v>
      </c>
      <c r="E35" s="658">
        <v>15</v>
      </c>
      <c r="F35" s="670" t="s">
        <v>831</v>
      </c>
      <c r="G35" s="575" t="s">
        <v>593</v>
      </c>
      <c r="H35" s="575" t="s">
        <v>403</v>
      </c>
      <c r="I35" s="653" t="s">
        <v>213</v>
      </c>
      <c r="J35" s="592" t="s">
        <v>232</v>
      </c>
      <c r="K35" s="594" t="s">
        <v>199</v>
      </c>
      <c r="L35" s="774">
        <v>6250</v>
      </c>
      <c r="M35" s="565" t="s">
        <v>42</v>
      </c>
      <c r="N35" s="567">
        <v>1</v>
      </c>
      <c r="O35" s="707" t="s">
        <v>104</v>
      </c>
      <c r="P35" s="565" t="s">
        <v>5</v>
      </c>
      <c r="Q35" s="567">
        <v>0.8</v>
      </c>
      <c r="R35" s="562" t="s">
        <v>67</v>
      </c>
      <c r="S35" s="219">
        <v>1</v>
      </c>
      <c r="T35" s="267" t="s">
        <v>676</v>
      </c>
      <c r="U35" s="140" t="s">
        <v>2</v>
      </c>
      <c r="V35" s="248" t="s">
        <v>411</v>
      </c>
      <c r="W35" s="248" t="s">
        <v>7</v>
      </c>
      <c r="X35" s="139" t="str">
        <f t="shared" si="3"/>
        <v>40%</v>
      </c>
      <c r="Y35" s="248" t="s">
        <v>17</v>
      </c>
      <c r="Z35" s="248" t="s">
        <v>20</v>
      </c>
      <c r="AA35" s="248" t="s">
        <v>105</v>
      </c>
      <c r="AB35" s="245"/>
      <c r="AC35" s="364" t="s">
        <v>410</v>
      </c>
      <c r="AD35" s="141">
        <v>1</v>
      </c>
      <c r="AE35" s="142" t="s">
        <v>4</v>
      </c>
      <c r="AF35" s="139">
        <f t="shared" si="13"/>
        <v>1</v>
      </c>
      <c r="AG35" s="143" t="str">
        <f t="shared" si="16"/>
        <v>Moderado</v>
      </c>
      <c r="AH35" s="139">
        <v>0.6</v>
      </c>
      <c r="AI35" s="213" t="str">
        <f t="shared" si="15"/>
        <v>Alto</v>
      </c>
      <c r="AJ35" s="213" t="s">
        <v>67</v>
      </c>
      <c r="AK35" s="248" t="s">
        <v>119</v>
      </c>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row>
    <row r="36" spans="1:80" s="66" customFormat="1" ht="94.5" customHeight="1" x14ac:dyDescent="0.25">
      <c r="A36" s="685"/>
      <c r="B36" s="781"/>
      <c r="C36" s="784"/>
      <c r="D36" s="688"/>
      <c r="E36" s="692"/>
      <c r="F36" s="671"/>
      <c r="G36" s="742"/>
      <c r="H36" s="742"/>
      <c r="I36" s="661"/>
      <c r="J36" s="647"/>
      <c r="K36" s="609"/>
      <c r="L36" s="774"/>
      <c r="M36" s="572"/>
      <c r="N36" s="571"/>
      <c r="O36" s="743"/>
      <c r="P36" s="572"/>
      <c r="Q36" s="571"/>
      <c r="R36" s="563"/>
      <c r="S36" s="219">
        <v>2</v>
      </c>
      <c r="T36" s="267" t="s">
        <v>679</v>
      </c>
      <c r="U36" s="140" t="s">
        <v>2</v>
      </c>
      <c r="V36" s="248" t="s">
        <v>411</v>
      </c>
      <c r="W36" s="248" t="s">
        <v>7</v>
      </c>
      <c r="X36" s="139" t="str">
        <f t="shared" si="3"/>
        <v>40%</v>
      </c>
      <c r="Y36" s="248" t="s">
        <v>17</v>
      </c>
      <c r="Z36" s="248" t="s">
        <v>20</v>
      </c>
      <c r="AA36" s="248" t="s">
        <v>105</v>
      </c>
      <c r="AB36" s="245"/>
      <c r="AC36" s="364" t="s">
        <v>585</v>
      </c>
      <c r="AD36" s="141">
        <v>1</v>
      </c>
      <c r="AE36" s="142" t="s">
        <v>4</v>
      </c>
      <c r="AF36" s="139">
        <f t="shared" si="13"/>
        <v>1</v>
      </c>
      <c r="AG36" s="143" t="str">
        <f t="shared" si="16"/>
        <v>Moderado</v>
      </c>
      <c r="AH36" s="139">
        <v>0.6</v>
      </c>
      <c r="AI36" s="213" t="str">
        <f t="shared" si="15"/>
        <v>Alto</v>
      </c>
      <c r="AJ36" s="213" t="s">
        <v>67</v>
      </c>
      <c r="AK36" s="248" t="s">
        <v>119</v>
      </c>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V36" s="65"/>
      <c r="BW36" s="65"/>
      <c r="BX36" s="65"/>
      <c r="BY36" s="65"/>
      <c r="BZ36" s="65"/>
      <c r="CA36" s="65"/>
      <c r="CB36" s="65"/>
    </row>
    <row r="37" spans="1:80" s="66" customFormat="1" ht="192.75" customHeight="1" x14ac:dyDescent="0.25">
      <c r="A37" s="685"/>
      <c r="B37" s="781"/>
      <c r="C37" s="784"/>
      <c r="D37" s="688"/>
      <c r="E37" s="692"/>
      <c r="F37" s="671"/>
      <c r="G37" s="742"/>
      <c r="H37" s="742"/>
      <c r="I37" s="661"/>
      <c r="J37" s="647"/>
      <c r="K37" s="609"/>
      <c r="L37" s="774"/>
      <c r="M37" s="572"/>
      <c r="N37" s="571"/>
      <c r="O37" s="743"/>
      <c r="P37" s="572"/>
      <c r="Q37" s="571"/>
      <c r="R37" s="563"/>
      <c r="S37" s="219">
        <v>3</v>
      </c>
      <c r="T37" s="267" t="s">
        <v>594</v>
      </c>
      <c r="U37" s="140" t="s">
        <v>2</v>
      </c>
      <c r="V37" s="248" t="s">
        <v>411</v>
      </c>
      <c r="W37" s="248" t="s">
        <v>7</v>
      </c>
      <c r="X37" s="139" t="str">
        <f>IF(AND(V37="Preventivo",W37="Automático"),"50%",IF(AND(V37="Preventivo",W37="Manual"),"40%",IF(AND(V37="Detectivo",W37="Automático"),"40%",IF(AND(V37="Detectivo",W37="Manual"),"30%",IF(AND(V37="Correctivo",W37="Automático"),"35%",IF(AND(V37="Correctivo",W37="Manual"),"25%",""))))))</f>
        <v>40%</v>
      </c>
      <c r="Y37" s="248" t="s">
        <v>17</v>
      </c>
      <c r="Z37" s="248" t="s">
        <v>20</v>
      </c>
      <c r="AA37" s="248" t="s">
        <v>105</v>
      </c>
      <c r="AB37" s="245"/>
      <c r="AC37" s="364" t="s">
        <v>505</v>
      </c>
      <c r="AD37" s="141">
        <v>1</v>
      </c>
      <c r="AE37" s="142" t="s">
        <v>4</v>
      </c>
      <c r="AF37" s="139">
        <f t="shared" si="13"/>
        <v>1</v>
      </c>
      <c r="AG37" s="143" t="str">
        <f t="shared" si="16"/>
        <v>Moderado</v>
      </c>
      <c r="AH37" s="139">
        <v>0.6</v>
      </c>
      <c r="AI37" s="213" t="str">
        <f t="shared" si="15"/>
        <v>Alto</v>
      </c>
      <c r="AJ37" s="213" t="s">
        <v>67</v>
      </c>
      <c r="AK37" s="248" t="s">
        <v>119</v>
      </c>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V37" s="65"/>
      <c r="BW37" s="65"/>
      <c r="BX37" s="65"/>
      <c r="BY37" s="65"/>
      <c r="BZ37" s="65"/>
      <c r="CA37" s="65"/>
      <c r="CB37" s="65"/>
    </row>
    <row r="38" spans="1:80" s="66" customFormat="1" ht="85.5" customHeight="1" x14ac:dyDescent="0.25">
      <c r="A38" s="685"/>
      <c r="B38" s="781"/>
      <c r="C38" s="784"/>
      <c r="D38" s="688"/>
      <c r="E38" s="659"/>
      <c r="F38" s="672"/>
      <c r="G38" s="576"/>
      <c r="H38" s="576"/>
      <c r="I38" s="654"/>
      <c r="J38" s="655"/>
      <c r="K38" s="595"/>
      <c r="L38" s="775"/>
      <c r="M38" s="566"/>
      <c r="N38" s="568"/>
      <c r="O38" s="708"/>
      <c r="P38" s="566"/>
      <c r="Q38" s="568"/>
      <c r="R38" s="564"/>
      <c r="S38" s="219">
        <v>4</v>
      </c>
      <c r="T38" s="267" t="s">
        <v>680</v>
      </c>
      <c r="U38" s="140" t="s">
        <v>2</v>
      </c>
      <c r="V38" s="248" t="s">
        <v>411</v>
      </c>
      <c r="W38" s="248" t="s">
        <v>7</v>
      </c>
      <c r="X38" s="139" t="str">
        <f>IF(AND(V38="Preventivo",W38="Automático"),"50%",IF(AND(V38="Preventivo",W38="Manual"),"40%",IF(AND(V38="Detectivo",W38="Automático"),"40%",IF(AND(V38="Detectivo",W38="Manual"),"30%",IF(AND(V38="Correctivo",W38="Automático"),"35%",IF(AND(V38="Correctivo",W38="Manual"),"25%",""))))))</f>
        <v>40%</v>
      </c>
      <c r="Y38" s="248" t="s">
        <v>17</v>
      </c>
      <c r="Z38" s="248" t="s">
        <v>20</v>
      </c>
      <c r="AA38" s="248" t="s">
        <v>105</v>
      </c>
      <c r="AB38" s="245"/>
      <c r="AC38" s="364" t="s">
        <v>584</v>
      </c>
      <c r="AD38" s="141">
        <v>1</v>
      </c>
      <c r="AE38" s="142" t="s">
        <v>4</v>
      </c>
      <c r="AF38" s="139">
        <f t="shared" si="13"/>
        <v>1</v>
      </c>
      <c r="AG38" s="143" t="str">
        <f t="shared" si="16"/>
        <v>Moderado</v>
      </c>
      <c r="AH38" s="139">
        <v>0.6</v>
      </c>
      <c r="AI38" s="213" t="str">
        <f t="shared" si="15"/>
        <v>Alto</v>
      </c>
      <c r="AJ38" s="213" t="s">
        <v>67</v>
      </c>
      <c r="AK38" s="248" t="s">
        <v>119</v>
      </c>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c r="BW38" s="65"/>
      <c r="BX38" s="65"/>
      <c r="BY38" s="65"/>
      <c r="BZ38" s="65"/>
      <c r="CA38" s="65"/>
      <c r="CB38" s="65"/>
    </row>
    <row r="39" spans="1:80" s="66" customFormat="1" ht="85.5" customHeight="1" x14ac:dyDescent="0.25">
      <c r="A39" s="685"/>
      <c r="B39" s="781"/>
      <c r="C39" s="784"/>
      <c r="D39" s="688"/>
      <c r="E39" s="658">
        <v>16</v>
      </c>
      <c r="F39" s="670" t="s">
        <v>832</v>
      </c>
      <c r="G39" s="575" t="s">
        <v>602</v>
      </c>
      <c r="H39" s="575" t="s">
        <v>403</v>
      </c>
      <c r="I39" s="653" t="s">
        <v>213</v>
      </c>
      <c r="J39" s="592" t="s">
        <v>232</v>
      </c>
      <c r="K39" s="594" t="s">
        <v>199</v>
      </c>
      <c r="L39" s="773">
        <v>6250</v>
      </c>
      <c r="M39" s="565" t="s">
        <v>42</v>
      </c>
      <c r="N39" s="567">
        <v>1</v>
      </c>
      <c r="O39" s="743" t="s">
        <v>104</v>
      </c>
      <c r="P39" s="565" t="s">
        <v>5</v>
      </c>
      <c r="Q39" s="567">
        <v>0.8</v>
      </c>
      <c r="R39" s="562" t="s">
        <v>67</v>
      </c>
      <c r="S39" s="219">
        <v>1</v>
      </c>
      <c r="T39" s="267" t="s">
        <v>678</v>
      </c>
      <c r="U39" s="140" t="s">
        <v>2</v>
      </c>
      <c r="V39" s="248" t="s">
        <v>411</v>
      </c>
      <c r="W39" s="248" t="s">
        <v>7</v>
      </c>
      <c r="X39" s="139" t="str">
        <f>IF(AND(V38="Preventivo",W38="Automático"),"50%",IF(AND(V38="Preventivo",W38="Manual"),"40%",IF(AND(V38="Detectivo",W38="Automático"),"40%",IF(AND(V38="Detectivo",W38="Manual"),"30%",IF(AND(V38="Correctivo",W38="Automático"),"35%",IF(AND(V38="Correctivo",W38="Manual"),"25%",""))))))</f>
        <v>40%</v>
      </c>
      <c r="Y39" s="248" t="s">
        <v>17</v>
      </c>
      <c r="Z39" s="248" t="s">
        <v>20</v>
      </c>
      <c r="AA39" s="248" t="s">
        <v>105</v>
      </c>
      <c r="AB39" s="245"/>
      <c r="AC39" s="364" t="s">
        <v>410</v>
      </c>
      <c r="AD39" s="141">
        <v>1</v>
      </c>
      <c r="AE39" s="142" t="s">
        <v>4</v>
      </c>
      <c r="AF39" s="139">
        <f t="shared" si="13"/>
        <v>1</v>
      </c>
      <c r="AG39" s="143" t="str">
        <f t="shared" si="16"/>
        <v>Moderado</v>
      </c>
      <c r="AH39" s="139">
        <v>0.6</v>
      </c>
      <c r="AI39" s="213" t="str">
        <f t="shared" si="15"/>
        <v>Alto</v>
      </c>
      <c r="AJ39" s="213" t="s">
        <v>67</v>
      </c>
      <c r="AK39" s="248" t="s">
        <v>119</v>
      </c>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V39" s="65"/>
      <c r="BW39" s="65"/>
      <c r="BX39" s="65"/>
      <c r="BY39" s="65"/>
      <c r="BZ39" s="65"/>
      <c r="CA39" s="65"/>
      <c r="CB39" s="65"/>
    </row>
    <row r="40" spans="1:80" s="66" customFormat="1" ht="99" customHeight="1" x14ac:dyDescent="0.25">
      <c r="A40" s="685"/>
      <c r="B40" s="781"/>
      <c r="C40" s="784"/>
      <c r="D40" s="688"/>
      <c r="E40" s="659"/>
      <c r="F40" s="672"/>
      <c r="G40" s="576"/>
      <c r="H40" s="576"/>
      <c r="I40" s="654"/>
      <c r="J40" s="655"/>
      <c r="K40" s="595"/>
      <c r="L40" s="775"/>
      <c r="M40" s="566"/>
      <c r="N40" s="568"/>
      <c r="O40" s="708"/>
      <c r="P40" s="566"/>
      <c r="Q40" s="568"/>
      <c r="R40" s="564"/>
      <c r="S40" s="219">
        <v>2</v>
      </c>
      <c r="T40" s="267" t="s">
        <v>605</v>
      </c>
      <c r="U40" s="140" t="s">
        <v>2</v>
      </c>
      <c r="V40" s="248" t="s">
        <v>411</v>
      </c>
      <c r="W40" s="248" t="s">
        <v>7</v>
      </c>
      <c r="X40" s="139" t="str">
        <f>IF(AND(V39="Preventivo",W39="Automático"),"50%",IF(AND(V39="Preventivo",W39="Manual"),"40%",IF(AND(V39="Detectivo",W39="Automático"),"40%",IF(AND(V39="Detectivo",W39="Manual"),"30%",IF(AND(V39="Correctivo",W39="Automático"),"35%",IF(AND(V39="Correctivo",W39="Manual"),"25%",""))))))</f>
        <v>40%</v>
      </c>
      <c r="Y40" s="248" t="s">
        <v>17</v>
      </c>
      <c r="Z40" s="248" t="s">
        <v>20</v>
      </c>
      <c r="AA40" s="248" t="s">
        <v>105</v>
      </c>
      <c r="AB40" s="245"/>
      <c r="AC40" s="364" t="s">
        <v>606</v>
      </c>
      <c r="AD40" s="141">
        <v>1</v>
      </c>
      <c r="AE40" s="142" t="s">
        <v>4</v>
      </c>
      <c r="AF40" s="139">
        <f t="shared" si="13"/>
        <v>1</v>
      </c>
      <c r="AG40" s="143" t="str">
        <f t="shared" si="16"/>
        <v>Moderado</v>
      </c>
      <c r="AH40" s="139">
        <v>0.6</v>
      </c>
      <c r="AI40" s="213" t="str">
        <f t="shared" si="15"/>
        <v>Alto</v>
      </c>
      <c r="AJ40" s="213" t="s">
        <v>67</v>
      </c>
      <c r="AK40" s="248" t="s">
        <v>119</v>
      </c>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V40" s="65"/>
      <c r="BW40" s="65"/>
      <c r="BX40" s="65"/>
      <c r="BY40" s="65"/>
      <c r="BZ40" s="65"/>
      <c r="CA40" s="65"/>
      <c r="CB40" s="65"/>
    </row>
    <row r="41" spans="1:80" s="66" customFormat="1" ht="82.5" customHeight="1" x14ac:dyDescent="0.25">
      <c r="A41" s="685"/>
      <c r="B41" s="781"/>
      <c r="C41" s="784"/>
      <c r="D41" s="688"/>
      <c r="E41" s="658">
        <v>17</v>
      </c>
      <c r="F41" s="670" t="s">
        <v>833</v>
      </c>
      <c r="G41" s="575" t="s">
        <v>601</v>
      </c>
      <c r="H41" s="575" t="s">
        <v>403</v>
      </c>
      <c r="I41" s="653" t="s">
        <v>213</v>
      </c>
      <c r="J41" s="592" t="s">
        <v>232</v>
      </c>
      <c r="K41" s="594" t="s">
        <v>199</v>
      </c>
      <c r="L41" s="773">
        <v>6250</v>
      </c>
      <c r="M41" s="565" t="s">
        <v>42</v>
      </c>
      <c r="N41" s="567">
        <v>1</v>
      </c>
      <c r="O41" s="707" t="s">
        <v>104</v>
      </c>
      <c r="P41" s="565" t="s">
        <v>5</v>
      </c>
      <c r="Q41" s="567">
        <f>IF(P43="","",IF(P43="Leve",0.2,IF(P43="Menor",0.4,IF(P43="Moderado",0.6,IF(P43="Mayor",0.8,IF(P43="Catastrófico",1,))))))</f>
        <v>0.8</v>
      </c>
      <c r="R41" s="562" t="str">
        <f>IF(OR(AND(M41="Muy Baja",P43="Leve"),AND(M41="Muy Baja",P43="Menor"),AND(M41="Baja",P43="Leve")),"Bajo",IF(OR(AND(M41="Muy baja",P43="Moderado"),AND(M41="Baja",P43="Menor"),AND(M41="Baja",P43="Moderado"),AND(M41="Media",P43="Leve"),AND(M41="Media",P43="Menor"),AND(M41="Media",P43="Moderado"),AND(M41="Alta",P43="Leve"),AND(M41="Alta",P43="Menor")),"Moderado",IF(OR(AND(M41="Muy Baja",P43="Mayor"),AND(M41="Baja",P43="Mayor"),AND(M41="Media",P43="Mayor"),AND(M41="Alta",P43="Moderado"),AND(M41="Alta",P43="Mayor"),AND(M41="Muy Alta",P43="Leve"),AND(M41="Muy Alta",P43="Menor"),AND(M41="Muy Alta",P43="Moderado"),AND(M41="Muy Alta",P43="Mayor")),"Alto",IF(OR(AND(M41="Muy Baja",P43="Catastrófico"),AND(M41="Baja",P43="Catastrófico"),AND(M41="Media",P43="Catastrófico"),AND(M41="Alta",P43="Catastrófico"),AND(M41="Muy Alta",P43="Catastrófico")),"Extremo",""))))</f>
        <v>Alto</v>
      </c>
      <c r="S41" s="219">
        <v>1</v>
      </c>
      <c r="T41" s="267" t="s">
        <v>677</v>
      </c>
      <c r="U41" s="140" t="s">
        <v>2</v>
      </c>
      <c r="V41" s="248" t="s">
        <v>411</v>
      </c>
      <c r="W41" s="248" t="s">
        <v>7</v>
      </c>
      <c r="X41" s="139" t="str">
        <f t="shared" si="3"/>
        <v>40%</v>
      </c>
      <c r="Y41" s="248" t="s">
        <v>17</v>
      </c>
      <c r="Z41" s="248" t="s">
        <v>20</v>
      </c>
      <c r="AA41" s="248" t="s">
        <v>105</v>
      </c>
      <c r="AB41" s="245"/>
      <c r="AC41" s="364" t="s">
        <v>410</v>
      </c>
      <c r="AD41" s="141">
        <v>1</v>
      </c>
      <c r="AE41" s="142" t="s">
        <v>4</v>
      </c>
      <c r="AF41" s="139">
        <f t="shared" si="13"/>
        <v>1</v>
      </c>
      <c r="AG41" s="143" t="str">
        <f t="shared" si="16"/>
        <v>Moderado</v>
      </c>
      <c r="AH41" s="139">
        <v>0.6</v>
      </c>
      <c r="AI41" s="213" t="str">
        <f>IFERROR(IF(OR(AND(AE25="Muy Baja",AG41="Leve"),AND(AE25="Muy Baja",AG41="Menor"),AND(AE25="Baja",AG41="Leve")),"Bajo",IF(OR(AND(AE25="Muy baja",AG41="Moderado"),AND(AE25="Baja",AG41="Menor"),AND(AE25="Baja",AG41="Moderado"),AND(AE25="Media",AG41="Leve"),AND(AE25="Media",AG41="Menor"),AND(AE25="Media",AG41="Moderado"),AND(AE25="Alta",AG41="Leve"),AND(AE25="Alta",AG41="Menor")),"Moderado",IF(OR(AND(AE25="Muy Baja",AG41="Mayor"),AND(AE25="Baja",AG41="Mayor"),AND(AE25="Media",AG41="Mayor"),AND(AE25="Alta",AG41="Moderado"),AND(AE25="Alta",AG41="Mayor"),AND(AE25="Muy Alta",AG41="Leve"),AND(AE25="Muy Alta",AG41="Menor"),AND(AE25="Muy Alta",AG41="Moderado"),AND(AE25="Muy Alta",AG41="Mayor")),"Alto",IF(OR(AND(AE25="Muy Baja",AG41="Catastrófico"),AND(AE25="Baja",AG41="Catastrófico"),AND(AE25="Media",AG41="Catastrófico"),AND(AE25="Alta",AG41="Catastrófico"),AND(AE25="Muy Alta",AG41="Catastrófico")),"Extremo","")))),"")</f>
        <v>Alto</v>
      </c>
      <c r="AJ41" s="213" t="s">
        <v>67</v>
      </c>
      <c r="AK41" s="248" t="s">
        <v>119</v>
      </c>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5"/>
      <c r="BW41" s="65"/>
      <c r="BX41" s="65"/>
      <c r="BY41" s="65"/>
      <c r="BZ41" s="65"/>
      <c r="CA41" s="65"/>
      <c r="CB41" s="65"/>
    </row>
    <row r="42" spans="1:80" s="66" customFormat="1" ht="191.25" customHeight="1" x14ac:dyDescent="0.25">
      <c r="A42" s="685"/>
      <c r="B42" s="782"/>
      <c r="C42" s="785"/>
      <c r="D42" s="689"/>
      <c r="E42" s="659"/>
      <c r="F42" s="672"/>
      <c r="G42" s="576"/>
      <c r="H42" s="576"/>
      <c r="I42" s="654"/>
      <c r="J42" s="655"/>
      <c r="K42" s="595"/>
      <c r="L42" s="775"/>
      <c r="M42" s="566"/>
      <c r="N42" s="568"/>
      <c r="O42" s="708"/>
      <c r="P42" s="566"/>
      <c r="Q42" s="568"/>
      <c r="R42" s="564"/>
      <c r="S42" s="219">
        <v>2</v>
      </c>
      <c r="T42" s="267" t="s">
        <v>478</v>
      </c>
      <c r="U42" s="140" t="s">
        <v>2</v>
      </c>
      <c r="V42" s="248" t="s">
        <v>411</v>
      </c>
      <c r="W42" s="248" t="s">
        <v>7</v>
      </c>
      <c r="X42" s="139" t="str">
        <f>IF(AND(V50="Preventivo",W42="Automático"),"50%",IF(AND(V50="Preventivo",W42="Manual"),"40%",IF(AND(V50="Detectivo",W42="Automático"),"40%",IF(AND(V50="Detectivo",W42="Manual"),"30%",IF(AND(V50="Correctivo",W42="Automático"),"35%",IF(AND(V50="Correctivo",W42="Manual"),"25%",""))))))</f>
        <v>40%</v>
      </c>
      <c r="Y42" s="248" t="s">
        <v>17</v>
      </c>
      <c r="Z42" s="248" t="s">
        <v>20</v>
      </c>
      <c r="AA42" s="248" t="s">
        <v>105</v>
      </c>
      <c r="AB42" s="245"/>
      <c r="AC42" s="364" t="s">
        <v>505</v>
      </c>
      <c r="AD42" s="141">
        <v>1</v>
      </c>
      <c r="AE42" s="142" t="s">
        <v>4</v>
      </c>
      <c r="AF42" s="139">
        <f t="shared" si="13"/>
        <v>1</v>
      </c>
      <c r="AG42" s="143" t="str">
        <f t="shared" si="16"/>
        <v>Moderado</v>
      </c>
      <c r="AH42" s="139">
        <v>0.6</v>
      </c>
      <c r="AI42" s="213" t="str">
        <f t="shared" ref="AI42:AI47" si="17">IFERROR(IF(OR(AND(AE41="Muy Baja",AG42="Leve"),AND(AE41="Muy Baja",AG42="Menor"),AND(AE41="Baja",AG42="Leve")),"Bajo",IF(OR(AND(AE41="Muy baja",AG42="Moderado"),AND(AE41="Baja",AG42="Menor"),AND(AE41="Baja",AG42="Moderado"),AND(AE41="Media",AG42="Leve"),AND(AE41="Media",AG42="Menor"),AND(AE41="Media",AG42="Moderado"),AND(AE41="Alta",AG42="Leve"),AND(AE41="Alta",AG42="Menor")),"Moderado",IF(OR(AND(AE41="Muy Baja",AG42="Mayor"),AND(AE41="Baja",AG42="Mayor"),AND(AE41="Media",AG42="Mayor"),AND(AE41="Alta",AG42="Moderado"),AND(AE41="Alta",AG42="Mayor"),AND(AE41="Muy Alta",AG42="Leve"),AND(AE41="Muy Alta",AG42="Menor"),AND(AE41="Muy Alta",AG42="Moderado"),AND(AE41="Muy Alta",AG42="Mayor")),"Alto",IF(OR(AND(AE41="Muy Baja",AG42="Catastrófico"),AND(AE41="Baja",AG42="Catastrófico"),AND(AE41="Media",AG42="Catastrófico"),AND(AE41="Alta",AG42="Catastrófico"),AND(AE41="Muy Alta",AG42="Catastrófico")),"Extremo","")))),"")</f>
        <v>Alto</v>
      </c>
      <c r="AJ42" s="213" t="s">
        <v>67</v>
      </c>
      <c r="AK42" s="248" t="s">
        <v>119</v>
      </c>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c r="BW42" s="65"/>
      <c r="BX42" s="65"/>
      <c r="BY42" s="65"/>
      <c r="BZ42" s="65"/>
      <c r="CA42" s="65"/>
      <c r="CB42" s="65"/>
    </row>
    <row r="43" spans="1:80" s="66" customFormat="1" ht="191.25" customHeight="1" x14ac:dyDescent="0.25">
      <c r="A43" s="685"/>
      <c r="B43" s="780">
        <v>5</v>
      </c>
      <c r="C43" s="783" t="s">
        <v>245</v>
      </c>
      <c r="D43" s="789" t="s">
        <v>595</v>
      </c>
      <c r="E43" s="658">
        <v>18</v>
      </c>
      <c r="F43" s="670" t="s">
        <v>597</v>
      </c>
      <c r="G43" s="575" t="s">
        <v>600</v>
      </c>
      <c r="H43" s="575" t="s">
        <v>604</v>
      </c>
      <c r="I43" s="653" t="s">
        <v>213</v>
      </c>
      <c r="J43" s="592" t="s">
        <v>232</v>
      </c>
      <c r="K43" s="594" t="s">
        <v>199</v>
      </c>
      <c r="L43" s="773">
        <v>1100</v>
      </c>
      <c r="M43" s="565" t="s">
        <v>42</v>
      </c>
      <c r="N43" s="567">
        <v>1</v>
      </c>
      <c r="O43" s="707" t="s">
        <v>104</v>
      </c>
      <c r="P43" s="565" t="str">
        <f>IF(OR(O41='6.Tabla Impacto'!$C$11,O41='6.Tabla Impacto'!$D$11),"Leve",IF(OR(O41='6.Tabla Impacto'!$C$12,O41='6.Tabla Impacto'!$D$12),"Menor",IF(OR(O41='6.Tabla Impacto'!$C$13,O41='6.Tabla Impacto'!$D$13),"Moderado",IF(OR(O41='6.Tabla Impacto'!$C$14,O41:O41='6.Tabla Impacto'!$D$14),"Mayor",IF(OR(O41='6.Tabla Impacto'!$C$15,O41='6.Tabla Impacto'!$D$15),"Catastrófico","")))))</f>
        <v>Mayor</v>
      </c>
      <c r="Q43" s="567">
        <v>0.8</v>
      </c>
      <c r="R43" s="562" t="s">
        <v>67</v>
      </c>
      <c r="S43" s="219">
        <v>1</v>
      </c>
      <c r="T43" s="267" t="s">
        <v>651</v>
      </c>
      <c r="U43" s="140" t="s">
        <v>2</v>
      </c>
      <c r="V43" s="248" t="s">
        <v>411</v>
      </c>
      <c r="W43" s="248" t="s">
        <v>7</v>
      </c>
      <c r="X43" s="139" t="str">
        <f>IF(AND(V51="Preventivo",W43="Automático"),"50%",IF(AND(V51="Preventivo",W43="Manual"),"40%",IF(AND(V51="Detectivo",W43="Automático"),"40%",IF(AND(V51="Detectivo",W43="Manual"),"30%",IF(AND(V51="Correctivo",W43="Automático"),"35%",IF(AND(V51="Correctivo",W43="Manual"),"25%",""))))))</f>
        <v>40%</v>
      </c>
      <c r="Y43" s="248" t="s">
        <v>17</v>
      </c>
      <c r="Z43" s="248" t="s">
        <v>20</v>
      </c>
      <c r="AA43" s="248" t="s">
        <v>105</v>
      </c>
      <c r="AB43" s="245"/>
      <c r="AC43" s="364" t="s">
        <v>410</v>
      </c>
      <c r="AD43" s="141">
        <v>1</v>
      </c>
      <c r="AE43" s="142" t="s">
        <v>4</v>
      </c>
      <c r="AF43" s="139">
        <f t="shared" si="13"/>
        <v>1</v>
      </c>
      <c r="AG43" s="143" t="str">
        <f t="shared" si="16"/>
        <v>Moderado</v>
      </c>
      <c r="AH43" s="139">
        <v>0.6</v>
      </c>
      <c r="AI43" s="213" t="str">
        <f t="shared" si="17"/>
        <v>Alto</v>
      </c>
      <c r="AJ43" s="213" t="s">
        <v>67</v>
      </c>
      <c r="AK43" s="248" t="s">
        <v>119</v>
      </c>
      <c r="AL43" s="65"/>
      <c r="AM43" s="65"/>
      <c r="AN43" s="65"/>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5"/>
      <c r="BW43" s="65"/>
      <c r="BX43" s="65"/>
      <c r="BY43" s="65"/>
      <c r="BZ43" s="65"/>
      <c r="CA43" s="65"/>
      <c r="CB43" s="65"/>
    </row>
    <row r="44" spans="1:80" s="66" customFormat="1" ht="191.25" customHeight="1" x14ac:dyDescent="0.25">
      <c r="A44" s="685"/>
      <c r="B44" s="781"/>
      <c r="C44" s="784"/>
      <c r="D44" s="790"/>
      <c r="E44" s="659"/>
      <c r="F44" s="672"/>
      <c r="G44" s="576"/>
      <c r="H44" s="576"/>
      <c r="I44" s="654"/>
      <c r="J44" s="655"/>
      <c r="K44" s="595"/>
      <c r="L44" s="775"/>
      <c r="M44" s="566"/>
      <c r="N44" s="568"/>
      <c r="O44" s="708"/>
      <c r="P44" s="566"/>
      <c r="Q44" s="568"/>
      <c r="R44" s="564"/>
      <c r="S44" s="219">
        <v>2</v>
      </c>
      <c r="T44" s="267" t="s">
        <v>681</v>
      </c>
      <c r="U44" s="140" t="s">
        <v>2</v>
      </c>
      <c r="V44" s="248" t="s">
        <v>411</v>
      </c>
      <c r="W44" s="248" t="s">
        <v>7</v>
      </c>
      <c r="X44" s="67"/>
      <c r="Y44" s="248" t="s">
        <v>17</v>
      </c>
      <c r="Z44" s="248" t="s">
        <v>20</v>
      </c>
      <c r="AA44" s="248" t="s">
        <v>105</v>
      </c>
      <c r="AB44" s="245"/>
      <c r="AC44" s="364" t="s">
        <v>614</v>
      </c>
      <c r="AD44" s="141">
        <v>1</v>
      </c>
      <c r="AE44" s="142" t="s">
        <v>4</v>
      </c>
      <c r="AF44" s="139">
        <f t="shared" si="13"/>
        <v>1</v>
      </c>
      <c r="AG44" s="143" t="str">
        <f t="shared" si="16"/>
        <v>Moderado</v>
      </c>
      <c r="AH44" s="139">
        <v>0.6</v>
      </c>
      <c r="AI44" s="213" t="str">
        <f t="shared" si="17"/>
        <v>Alto</v>
      </c>
      <c r="AJ44" s="213" t="s">
        <v>67</v>
      </c>
      <c r="AK44" s="248" t="s">
        <v>119</v>
      </c>
      <c r="AL44" s="65"/>
      <c r="AM44" s="65"/>
      <c r="AN44" s="65"/>
      <c r="AO44" s="65"/>
      <c r="AP44" s="65"/>
      <c r="AQ44" s="65"/>
      <c r="AR44" s="65"/>
      <c r="AS44" s="65"/>
      <c r="AT44" s="65"/>
      <c r="AU44" s="65"/>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S44" s="65"/>
      <c r="BT44" s="65"/>
      <c r="BU44" s="65"/>
      <c r="BV44" s="65"/>
      <c r="BW44" s="65"/>
      <c r="BX44" s="65"/>
      <c r="BY44" s="65"/>
      <c r="BZ44" s="65"/>
      <c r="CA44" s="65"/>
      <c r="CB44" s="65"/>
    </row>
    <row r="45" spans="1:80" s="66" customFormat="1" ht="191.25" customHeight="1" x14ac:dyDescent="0.25">
      <c r="A45" s="685"/>
      <c r="B45" s="781"/>
      <c r="C45" s="784"/>
      <c r="D45" s="790"/>
      <c r="E45" s="658">
        <v>19</v>
      </c>
      <c r="F45" s="670" t="s">
        <v>598</v>
      </c>
      <c r="G45" s="575" t="s">
        <v>599</v>
      </c>
      <c r="H45" s="575" t="s">
        <v>604</v>
      </c>
      <c r="I45" s="653" t="s">
        <v>213</v>
      </c>
      <c r="J45" s="592" t="s">
        <v>232</v>
      </c>
      <c r="K45" s="594" t="s">
        <v>199</v>
      </c>
      <c r="L45" s="773">
        <v>1100</v>
      </c>
      <c r="M45" s="565" t="s">
        <v>42</v>
      </c>
      <c r="N45" s="567">
        <v>1</v>
      </c>
      <c r="O45" s="707" t="s">
        <v>104</v>
      </c>
      <c r="P45" s="565" t="str">
        <f>IF(OR(O43='6.Tabla Impacto'!$C$11,O43='6.Tabla Impacto'!$D$11),"Leve",IF(OR(O43='6.Tabla Impacto'!$C$12,O43='6.Tabla Impacto'!$D$12),"Menor",IF(OR(O43='6.Tabla Impacto'!$C$13,O43='6.Tabla Impacto'!$D$13),"Moderado",IF(OR(O43='6.Tabla Impacto'!$C$14,O43:O43='6.Tabla Impacto'!$D$14),"Mayor",IF(OR(O43='6.Tabla Impacto'!$C$15,O43='6.Tabla Impacto'!$D$15),"Catastrófico","")))))</f>
        <v>Mayor</v>
      </c>
      <c r="Q45" s="567">
        <v>0.8</v>
      </c>
      <c r="R45" s="562" t="s">
        <v>67</v>
      </c>
      <c r="S45" s="219">
        <v>1</v>
      </c>
      <c r="T45" s="267" t="s">
        <v>630</v>
      </c>
      <c r="U45" s="140" t="s">
        <v>2</v>
      </c>
      <c r="V45" s="248" t="s">
        <v>411</v>
      </c>
      <c r="W45" s="248" t="s">
        <v>7</v>
      </c>
      <c r="X45" s="139" t="str">
        <f>IF(AND(V52="Preventivo",W44="Automático"),"50%",IF(AND(V52="Preventivo",W44="Manual"),"40%",IF(AND(V52="Detectivo",W44="Automático"),"40%",IF(AND(V52="Detectivo",W44="Manual"),"30%",IF(AND(V52="Correctivo",W44="Automático"),"35%",IF(AND(V52="Correctivo",W44="Manual"),"25%",""))))))</f>
        <v>40%</v>
      </c>
      <c r="Y45" s="248" t="s">
        <v>17</v>
      </c>
      <c r="Z45" s="248" t="s">
        <v>20</v>
      </c>
      <c r="AA45" s="248" t="s">
        <v>105</v>
      </c>
      <c r="AB45" s="245"/>
      <c r="AC45" s="364" t="s">
        <v>410</v>
      </c>
      <c r="AD45" s="141">
        <v>1</v>
      </c>
      <c r="AE45" s="142" t="s">
        <v>4</v>
      </c>
      <c r="AF45" s="139">
        <f t="shared" si="13"/>
        <v>1</v>
      </c>
      <c r="AG45" s="143" t="str">
        <f t="shared" si="16"/>
        <v>Moderado</v>
      </c>
      <c r="AH45" s="139">
        <v>0.6</v>
      </c>
      <c r="AI45" s="213" t="str">
        <f t="shared" si="17"/>
        <v>Alto</v>
      </c>
      <c r="AJ45" s="213" t="s">
        <v>67</v>
      </c>
      <c r="AK45" s="248" t="s">
        <v>119</v>
      </c>
      <c r="AL45" s="65"/>
      <c r="AM45" s="65"/>
      <c r="AN45" s="65"/>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65"/>
      <c r="BT45" s="65"/>
      <c r="BU45" s="65"/>
      <c r="BV45" s="65"/>
      <c r="BW45" s="65"/>
      <c r="BX45" s="65"/>
      <c r="BY45" s="65"/>
      <c r="BZ45" s="65"/>
      <c r="CA45" s="65"/>
      <c r="CB45" s="65"/>
    </row>
    <row r="46" spans="1:80" s="66" customFormat="1" ht="191.25" customHeight="1" x14ac:dyDescent="0.25">
      <c r="A46" s="685"/>
      <c r="B46" s="781"/>
      <c r="C46" s="784"/>
      <c r="D46" s="790"/>
      <c r="E46" s="659"/>
      <c r="F46" s="672"/>
      <c r="G46" s="576"/>
      <c r="H46" s="576"/>
      <c r="I46" s="654"/>
      <c r="J46" s="655"/>
      <c r="K46" s="595"/>
      <c r="L46" s="775"/>
      <c r="M46" s="566"/>
      <c r="N46" s="568"/>
      <c r="O46" s="708"/>
      <c r="P46" s="566"/>
      <c r="Q46" s="568"/>
      <c r="R46" s="564"/>
      <c r="S46" s="219">
        <v>2</v>
      </c>
      <c r="T46" s="267" t="s">
        <v>682</v>
      </c>
      <c r="U46" s="140" t="s">
        <v>2</v>
      </c>
      <c r="V46" s="248" t="s">
        <v>411</v>
      </c>
      <c r="W46" s="248" t="s">
        <v>7</v>
      </c>
      <c r="X46" s="139" t="str">
        <f>IF(AND(V53="Preventivo",W45="Automático"),"50%",IF(AND(V53="Preventivo",W45="Manual"),"40%",IF(AND(V53="Detectivo",W45="Automático"),"40%",IF(AND(V53="Detectivo",W45="Manual"),"30%",IF(AND(V53="Correctivo",W45="Automático"),"35%",IF(AND(V53="Correctivo",W45="Manual"),"25%",""))))))</f>
        <v>40%</v>
      </c>
      <c r="Y46" s="248" t="s">
        <v>17</v>
      </c>
      <c r="Z46" s="248" t="s">
        <v>20</v>
      </c>
      <c r="AA46" s="248" t="s">
        <v>105</v>
      </c>
      <c r="AB46" s="245"/>
      <c r="AC46" s="364" t="s">
        <v>631</v>
      </c>
      <c r="AD46" s="141">
        <v>1</v>
      </c>
      <c r="AE46" s="142" t="s">
        <v>4</v>
      </c>
      <c r="AF46" s="139">
        <f t="shared" si="13"/>
        <v>1</v>
      </c>
      <c r="AG46" s="143" t="str">
        <f t="shared" si="16"/>
        <v>Moderado</v>
      </c>
      <c r="AH46" s="139">
        <v>0.6</v>
      </c>
      <c r="AI46" s="213" t="str">
        <f t="shared" si="17"/>
        <v>Alto</v>
      </c>
      <c r="AJ46" s="213" t="s">
        <v>67</v>
      </c>
      <c r="AK46" s="248" t="s">
        <v>119</v>
      </c>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V46" s="65"/>
      <c r="BW46" s="65"/>
      <c r="BX46" s="65"/>
      <c r="BY46" s="65"/>
      <c r="BZ46" s="65"/>
      <c r="CA46" s="65"/>
      <c r="CB46" s="65"/>
    </row>
    <row r="47" spans="1:80" s="66" customFormat="1" ht="191.25" customHeight="1" x14ac:dyDescent="0.25">
      <c r="A47" s="685"/>
      <c r="B47" s="781"/>
      <c r="C47" s="784"/>
      <c r="D47" s="790"/>
      <c r="E47" s="658">
        <v>20</v>
      </c>
      <c r="F47" s="670" t="s">
        <v>834</v>
      </c>
      <c r="G47" s="575" t="s">
        <v>603</v>
      </c>
      <c r="H47" s="575" t="s">
        <v>604</v>
      </c>
      <c r="I47" s="653" t="s">
        <v>213</v>
      </c>
      <c r="J47" s="592" t="s">
        <v>232</v>
      </c>
      <c r="K47" s="594" t="s">
        <v>199</v>
      </c>
      <c r="L47" s="773">
        <v>4600</v>
      </c>
      <c r="M47" s="565" t="s">
        <v>42</v>
      </c>
      <c r="N47" s="567">
        <v>1</v>
      </c>
      <c r="O47" s="707" t="s">
        <v>104</v>
      </c>
      <c r="P47" s="565" t="s">
        <v>5</v>
      </c>
      <c r="Q47" s="567">
        <v>0.8</v>
      </c>
      <c r="R47" s="562" t="s">
        <v>67</v>
      </c>
      <c r="S47" s="219">
        <v>1</v>
      </c>
      <c r="T47" s="267" t="s">
        <v>652</v>
      </c>
      <c r="U47" s="140" t="s">
        <v>2</v>
      </c>
      <c r="V47" s="248" t="s">
        <v>411</v>
      </c>
      <c r="W47" s="248" t="s">
        <v>7</v>
      </c>
      <c r="X47" s="139" t="str">
        <f>IF(AND(V54="Preventivo",W46="Automático"),"50%",IF(AND(V54="Preventivo",W46="Manual"),"40%",IF(AND(V54="Detectivo",W46="Automático"),"40%",IF(AND(V54="Detectivo",W46="Manual"),"30%",IF(AND(V54="Correctivo",W46="Automático"),"35%",IF(AND(V54="Correctivo",W46="Manual"),"25%",""))))))</f>
        <v>40%</v>
      </c>
      <c r="Y47" s="248" t="s">
        <v>17</v>
      </c>
      <c r="Z47" s="248" t="s">
        <v>20</v>
      </c>
      <c r="AA47" s="248" t="s">
        <v>105</v>
      </c>
      <c r="AB47" s="245"/>
      <c r="AC47" s="364" t="s">
        <v>410</v>
      </c>
      <c r="AD47" s="141">
        <v>1</v>
      </c>
      <c r="AE47" s="142" t="s">
        <v>4</v>
      </c>
      <c r="AF47" s="139">
        <f t="shared" si="13"/>
        <v>1</v>
      </c>
      <c r="AG47" s="143" t="str">
        <f t="shared" si="16"/>
        <v>Moderado</v>
      </c>
      <c r="AH47" s="139">
        <v>0.6</v>
      </c>
      <c r="AI47" s="213" t="str">
        <f t="shared" si="17"/>
        <v>Alto</v>
      </c>
      <c r="AJ47" s="213" t="s">
        <v>67</v>
      </c>
      <c r="AK47" s="248" t="s">
        <v>119</v>
      </c>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c r="BM47" s="65"/>
      <c r="BN47" s="65"/>
      <c r="BO47" s="65"/>
      <c r="BP47" s="65"/>
      <c r="BQ47" s="65"/>
      <c r="BR47" s="65"/>
      <c r="BS47" s="65"/>
      <c r="BT47" s="65"/>
      <c r="BU47" s="65"/>
      <c r="BV47" s="65"/>
      <c r="BW47" s="65"/>
      <c r="BX47" s="65"/>
      <c r="BY47" s="65"/>
      <c r="BZ47" s="65"/>
      <c r="CA47" s="65"/>
      <c r="CB47" s="65"/>
    </row>
    <row r="48" spans="1:80" s="66" customFormat="1" ht="191.25" customHeight="1" x14ac:dyDescent="0.25">
      <c r="A48" s="685"/>
      <c r="B48" s="781"/>
      <c r="C48" s="784"/>
      <c r="D48" s="790"/>
      <c r="E48" s="692"/>
      <c r="F48" s="671"/>
      <c r="G48" s="742"/>
      <c r="H48" s="742"/>
      <c r="I48" s="661"/>
      <c r="J48" s="647"/>
      <c r="K48" s="609"/>
      <c r="L48" s="774"/>
      <c r="M48" s="572"/>
      <c r="N48" s="571"/>
      <c r="O48" s="743"/>
      <c r="P48" s="572"/>
      <c r="Q48" s="571"/>
      <c r="R48" s="563"/>
      <c r="S48" s="219">
        <v>2</v>
      </c>
      <c r="T48" s="267" t="s">
        <v>653</v>
      </c>
      <c r="U48" s="140" t="s">
        <v>2</v>
      </c>
      <c r="V48" s="248" t="s">
        <v>411</v>
      </c>
      <c r="W48" s="248" t="s">
        <v>7</v>
      </c>
      <c r="X48" s="139" t="str">
        <f>IF(AND(V55="Preventivo",W47="Automático"),"50%",IF(AND(V55="Preventivo",W47="Manual"),"40%",IF(AND(V55="Detectivo",W47="Automático"),"40%",IF(AND(V55="Detectivo",W47="Manual"),"30%",IF(AND(V55="Correctivo",W47="Automático"),"35%",IF(AND(V55="Correctivo",W47="Manual"),"25%",""))))))</f>
        <v>40%</v>
      </c>
      <c r="Y48" s="248" t="s">
        <v>17</v>
      </c>
      <c r="Z48" s="248" t="s">
        <v>20</v>
      </c>
      <c r="AA48" s="248" t="s">
        <v>105</v>
      </c>
      <c r="AB48" s="244"/>
      <c r="AC48" s="364" t="s">
        <v>632</v>
      </c>
      <c r="AD48" s="141">
        <v>1</v>
      </c>
      <c r="AE48" s="142" t="s">
        <v>4</v>
      </c>
      <c r="AF48" s="139">
        <f t="shared" si="13"/>
        <v>1</v>
      </c>
      <c r="AG48" s="143" t="str">
        <f t="shared" si="16"/>
        <v>Moderado</v>
      </c>
      <c r="AH48" s="139">
        <v>0.6</v>
      </c>
      <c r="AI48" s="213" t="str">
        <f>IFERROR(IF(OR(AND(AE47="Muy Baja",AG48="Leve"),AND(AE47="Muy Baja",AG48="Menor"),AND(AE47="Baja",AG48="Leve")),"Bajo",IF(OR(AND(AE47="Muy baja",AG48="Moderado"),AND(AE47="Baja",AG48="Menor"),AND(AE47="Baja",AG48="Moderado"),AND(AE47="Media",AG48="Leve"),AND(AE47="Media",AG48="Menor"),AND(AE47="Media",AG48="Moderado"),AND(AE47="Alta",AG48="Leve"),AND(AE47="Alta",AG48="Menor")),"Moderado",IF(OR(AND(AE47="Muy Baja",AG48="Mayor"),AND(AE47="Baja",AG48="Mayor"),AND(AE47="Media",AG48="Mayor"),AND(AE47="Alta",AG48="Moderado"),AND(AE47="Alta",AG48="Mayor"),AND(AE47="Muy Alta",AG48="Leve"),AND(AE47="Muy Alta",AG48="Menor"),AND(AE47="Muy Alta",AG48="Moderado"),AND(AE47="Muy Alta",AG48="Mayor")),"Alto",IF(OR(AND(AE47="Muy Baja",AG48="Catastrófico"),AND(AE47="Baja",AG48="Catastrófico"),AND(AE47="Media",AG48="Catastrófico"),AND(AE47="Alta",AG48="Catastrófico"),AND(AE47="Muy Alta",AG48="Catastrófico")),"Extremo","")))),"")</f>
        <v>Alto</v>
      </c>
      <c r="AJ48" s="213" t="s">
        <v>67</v>
      </c>
      <c r="AK48" s="248" t="s">
        <v>119</v>
      </c>
      <c r="AL48" s="65"/>
      <c r="AM48" s="65"/>
      <c r="AN48" s="65"/>
      <c r="AO48" s="65"/>
      <c r="AP48" s="65"/>
      <c r="AQ48" s="65"/>
      <c r="AR48" s="65"/>
      <c r="AS48" s="65"/>
      <c r="AT48" s="65"/>
      <c r="AU48" s="65"/>
      <c r="AV48" s="65"/>
      <c r="AW48" s="65"/>
      <c r="AX48" s="65"/>
      <c r="AY48" s="65"/>
      <c r="AZ48" s="65"/>
      <c r="BA48" s="65"/>
      <c r="BB48" s="65"/>
      <c r="BC48" s="65"/>
      <c r="BD48" s="65"/>
      <c r="BE48" s="65"/>
      <c r="BF48" s="65"/>
      <c r="BG48" s="65"/>
      <c r="BH48" s="65"/>
      <c r="BI48" s="65"/>
      <c r="BJ48" s="65"/>
      <c r="BK48" s="65"/>
      <c r="BL48" s="65"/>
      <c r="BM48" s="65"/>
      <c r="BN48" s="65"/>
      <c r="BO48" s="65"/>
      <c r="BP48" s="65"/>
      <c r="BQ48" s="65"/>
      <c r="BR48" s="65"/>
      <c r="BS48" s="65"/>
      <c r="BT48" s="65"/>
      <c r="BU48" s="65"/>
      <c r="BV48" s="65"/>
      <c r="BW48" s="65"/>
      <c r="BX48" s="65"/>
      <c r="BY48" s="65"/>
      <c r="BZ48" s="65"/>
      <c r="CA48" s="65"/>
      <c r="CB48" s="65"/>
    </row>
    <row r="49" spans="1:80" s="66" customFormat="1" ht="191.25" customHeight="1" x14ac:dyDescent="0.25">
      <c r="A49" s="685"/>
      <c r="B49" s="781"/>
      <c r="C49" s="784"/>
      <c r="D49" s="791"/>
      <c r="E49" s="659"/>
      <c r="F49" s="672"/>
      <c r="G49" s="576"/>
      <c r="H49" s="576"/>
      <c r="I49" s="654"/>
      <c r="J49" s="655"/>
      <c r="K49" s="595"/>
      <c r="L49" s="775"/>
      <c r="M49" s="566"/>
      <c r="N49" s="568"/>
      <c r="O49" s="708"/>
      <c r="P49" s="566"/>
      <c r="Q49" s="568"/>
      <c r="R49" s="564"/>
      <c r="S49" s="219">
        <v>3</v>
      </c>
      <c r="T49" s="267" t="s">
        <v>633</v>
      </c>
      <c r="U49" s="140" t="s">
        <v>2</v>
      </c>
      <c r="V49" s="248" t="s">
        <v>411</v>
      </c>
      <c r="W49" s="248" t="s">
        <v>7</v>
      </c>
      <c r="X49" s="139" t="str">
        <f>IF(AND(V56="Preventivo",W48="Automático"),"50%",IF(AND(V56="Preventivo",W48="Manual"),"40%",IF(AND(V56="Detectivo",W48="Automático"),"40%",IF(AND(V56="Detectivo",W48="Manual"),"30%",IF(AND(V56="Correctivo",W48="Automático"),"35%",IF(AND(V56="Correctivo",W48="Manual"),"25%",""))))))</f>
        <v>40%</v>
      </c>
      <c r="Y49" s="248" t="s">
        <v>17</v>
      </c>
      <c r="Z49" s="248" t="s">
        <v>20</v>
      </c>
      <c r="AA49" s="248" t="s">
        <v>105</v>
      </c>
      <c r="AB49" s="245"/>
      <c r="AC49" s="364" t="s">
        <v>654</v>
      </c>
      <c r="AD49" s="141">
        <v>1</v>
      </c>
      <c r="AE49" s="142" t="s">
        <v>4</v>
      </c>
      <c r="AF49" s="139">
        <f t="shared" si="13"/>
        <v>1</v>
      </c>
      <c r="AG49" s="143" t="str">
        <f t="shared" si="16"/>
        <v>Moderado</v>
      </c>
      <c r="AH49" s="139">
        <v>0.6</v>
      </c>
      <c r="AI49" s="213" t="str">
        <f>IFERROR(IF(OR(AND(AE48="Muy Baja",AG49="Leve"),AND(AE48="Muy Baja",AG49="Menor"),AND(AE48="Baja",AG49="Leve")),"Bajo",IF(OR(AND(AE48="Muy baja",AG49="Moderado"),AND(AE48="Baja",AG49="Menor"),AND(AE48="Baja",AG49="Moderado"),AND(AE48="Media",AG49="Leve"),AND(AE48="Media",AG49="Menor"),AND(AE48="Media",AG49="Moderado"),AND(AE48="Alta",AG49="Leve"),AND(AE48="Alta",AG49="Menor")),"Moderado",IF(OR(AND(AE48="Muy Baja",AG49="Mayor"),AND(AE48="Baja",AG49="Mayor"),AND(AE48="Media",AG49="Mayor"),AND(AE48="Alta",AG49="Moderado"),AND(AE48="Alta",AG49="Mayor"),AND(AE48="Muy Alta",AG49="Leve"),AND(AE48="Muy Alta",AG49="Menor"),AND(AE48="Muy Alta",AG49="Moderado"),AND(AE48="Muy Alta",AG49="Mayor")),"Alto",IF(OR(AND(AE48="Muy Baja",AG49="Catastrófico"),AND(AE48="Baja",AG49="Catastrófico"),AND(AE48="Media",AG49="Catastrófico"),AND(AE48="Alta",AG49="Catastrófico"),AND(AE48="Muy Alta",AG49="Catastrófico")),"Extremo","")))),"")</f>
        <v>Alto</v>
      </c>
      <c r="AJ49" s="213" t="s">
        <v>67</v>
      </c>
      <c r="AK49" s="248" t="s">
        <v>119</v>
      </c>
      <c r="AL49" s="65"/>
      <c r="AM49" s="65"/>
      <c r="AN49" s="65"/>
      <c r="AO49" s="65"/>
      <c r="AP49" s="65"/>
      <c r="AQ49" s="65"/>
      <c r="AR49" s="65"/>
      <c r="AS49" s="65"/>
      <c r="AT49" s="65"/>
      <c r="AU49" s="65"/>
      <c r="AV49" s="65"/>
      <c r="AW49" s="65"/>
      <c r="AX49" s="65"/>
      <c r="AY49" s="65"/>
      <c r="AZ49" s="65"/>
      <c r="BA49" s="65"/>
      <c r="BB49" s="65"/>
      <c r="BC49" s="65"/>
      <c r="BD49" s="65"/>
      <c r="BE49" s="65"/>
      <c r="BF49" s="65"/>
      <c r="BG49" s="65"/>
      <c r="BH49" s="65"/>
      <c r="BI49" s="65"/>
      <c r="BJ49" s="65"/>
      <c r="BK49" s="65"/>
      <c r="BL49" s="65"/>
      <c r="BM49" s="65"/>
      <c r="BN49" s="65"/>
      <c r="BO49" s="65"/>
      <c r="BP49" s="65"/>
      <c r="BQ49" s="65"/>
      <c r="BR49" s="65"/>
      <c r="BS49" s="65"/>
      <c r="BT49" s="65"/>
      <c r="BU49" s="65"/>
      <c r="BV49" s="65"/>
      <c r="BW49" s="65"/>
      <c r="BX49" s="65"/>
      <c r="BY49" s="65"/>
      <c r="BZ49" s="65"/>
      <c r="CA49" s="65"/>
      <c r="CB49" s="65"/>
    </row>
    <row r="50" spans="1:80" s="66" customFormat="1" ht="206.25" customHeight="1" x14ac:dyDescent="0.25">
      <c r="A50" s="685"/>
      <c r="B50" s="781"/>
      <c r="C50" s="784"/>
      <c r="D50" s="789" t="s">
        <v>596</v>
      </c>
      <c r="E50" s="693">
        <v>21</v>
      </c>
      <c r="F50" s="575" t="s">
        <v>937</v>
      </c>
      <c r="G50" s="575" t="s">
        <v>246</v>
      </c>
      <c r="H50" s="575" t="s">
        <v>427</v>
      </c>
      <c r="I50" s="653" t="s">
        <v>213</v>
      </c>
      <c r="J50" s="592" t="s">
        <v>223</v>
      </c>
      <c r="K50" s="594" t="s">
        <v>199</v>
      </c>
      <c r="L50" s="594">
        <v>2650</v>
      </c>
      <c r="M50" s="565" t="str">
        <f>IF(L50&lt;=0,"",IF(L50&lt;=2,"Muy Baja",IF(L50&lt;=24,"Baja",IF(L50&lt;=500,"Media",IF(L50&lt;=5000,"Alta","Muy Alta")))))</f>
        <v>Alta</v>
      </c>
      <c r="N50" s="567">
        <f>IF(M50="","",IF(M50="Muy Baja",0.2,IF(M50="Baja",0.4,IF(M50="Media",0.6,IF(M50="Alta",0.8,IF(M50="Muy Alta",1,))))))</f>
        <v>0.8</v>
      </c>
      <c r="O50" s="770" t="s">
        <v>85</v>
      </c>
      <c r="P50" s="565" t="str">
        <f>IF(OR(O50='6.Tabla Impacto'!$C$11,O50='6.Tabla Impacto'!$D$11),"Leve",IF(OR(O50='6.Tabla Impacto'!$C$12,O50='6.Tabla Impacto'!$D$12),"Menor",IF(OR(O50='6.Tabla Impacto'!$C$13,O50='6.Tabla Impacto'!$D$13),"Moderado",IF(OR(O50='6.Tabla Impacto'!$C$14,O50:O50='6.Tabla Impacto'!$D$14),"Mayor",IF(OR(O50='6.Tabla Impacto'!$C$15,O50='6.Tabla Impacto'!$D$15),"Catastrófico","")))))</f>
        <v>Moderado</v>
      </c>
      <c r="Q50" s="567">
        <f>IF(P50="","",IF(P50="Leve",0.2,IF(P50="Menor",0.4,IF(P50="Moderado",0.6,IF(P50="Mayor",0.8,IF(P50="Catastrófico",1,))))))</f>
        <v>0.6</v>
      </c>
      <c r="R50" s="562" t="str">
        <f>IF(OR(AND(M50="Muy Baja",P50="Leve"),AND(M50="Muy Baja",P50="Menor"),AND(M50="Baja",P50="Leve")),"Bajo",IF(OR(AND(M50="Muy baja",P50="Moderado"),AND(M50="Baja",P50="Menor"),AND(M50="Baja",P50="Moderado"),AND(M50="Media",P50="Leve"),AND(M50="Media",P50="Menor"),AND(M50="Media",P50="Moderado"),AND(M50="Alta",P50="Leve"),AND(M50="Alta",P50="Menor")),"Moderado",IF(OR(AND(M50="Muy Baja",P50="Mayor"),AND(M50="Baja",P50="Mayor"),AND(M50="Media",P50="Mayor"),AND(M50="Alta",P50="Moderado"),AND(M50="Alta",P50="Mayor"),AND(M50="Muy Alta",P50="Leve"),AND(M50="Muy Alta",P50="Menor"),AND(M50="Muy Alta",P50="Moderado"),AND(M50="Muy Alta",P50="Mayor")),"Alto",IF(OR(AND(M50="Muy Baja",P50="Catastrófico"),AND(M50="Baja",P50="Catastrófico"),AND(M50="Media",P50="Catastrófico"),AND(M50="Alta",P50="Catastrófico"),AND(M50="Muy Alta",P50="Catastrófico")),"Extremo",""))))</f>
        <v>Alto</v>
      </c>
      <c r="S50" s="144">
        <v>1</v>
      </c>
      <c r="T50" s="267" t="s">
        <v>655</v>
      </c>
      <c r="U50" s="140" t="s">
        <v>1</v>
      </c>
      <c r="V50" s="248" t="s">
        <v>411</v>
      </c>
      <c r="W50" s="248" t="s">
        <v>7</v>
      </c>
      <c r="X50" s="139" t="str">
        <f t="shared" ref="X50:X56" si="18">IF(AND(V51="Preventivo",W50="Automático"),"50%",IF(AND(V51="Preventivo",W50="Manual"),"40%",IF(AND(V51="Detectivo",W50="Automático"),"40%",IF(AND(V51="Detectivo",W50="Manual"),"30%",IF(AND(V51="Correctivo",W50="Automático"),"35%",IF(AND(V51="Correctivo",W50="Manual"),"25%",""))))))</f>
        <v>40%</v>
      </c>
      <c r="Y50" s="248" t="s">
        <v>17</v>
      </c>
      <c r="Z50" s="248" t="s">
        <v>20</v>
      </c>
      <c r="AA50" s="248" t="s">
        <v>105</v>
      </c>
      <c r="AB50" s="245"/>
      <c r="AC50" s="364" t="s">
        <v>340</v>
      </c>
      <c r="AD50" s="141">
        <v>0.6</v>
      </c>
      <c r="AE50" s="142" t="str">
        <f>IFERROR(IF(AD50="","",IF(AD50&lt;=0.2,"Muy Baja",IF(AD50&lt;=0.4,"Baja",IF(AD50&lt;=0.6,"Media",IF(AD50&lt;=0.8,"Alta","Muy Alta"))))),"")</f>
        <v>Media</v>
      </c>
      <c r="AF50" s="139" t="str">
        <f>+AE50</f>
        <v>Media</v>
      </c>
      <c r="AG50" s="143" t="str">
        <f>IFERROR(IF(AH50="","",IF(AH50&lt;=0.2,"Leve",IF(AH50&lt;=0.4,"Menor",IF(AH50&lt;=0.6,"Moderado",IF(AH50&lt;=0.8,"Mayor","Catastrófico"))))),"")</f>
        <v>Moderado</v>
      </c>
      <c r="AH50" s="139">
        <v>0.6</v>
      </c>
      <c r="AI50" s="213" t="str">
        <f t="shared" ref="AI50:AI56" si="19">IFERROR(IF(OR(AND(AE50="Muy Baja",AG50="Leve"),AND(AE50="Muy Baja",AG50="Menor"),AND(AE50="Baja",AG50="Leve")),"Bajo",IF(OR(AND(AE50="Muy baja",AG50="Moderado"),AND(AE50="Baja",AG50="Menor"),AND(AE50="Baja",AG50="Moderado"),AND(AE50="Media",AG50="Leve"),AND(AE50="Media",AG50="Menor"),AND(AE50="Media",AG50="Moderado"),AND(AE50="Alta",AG50="Leve"),AND(AE50="Alta",AG50="Menor")),"Moderado",IF(OR(AND(AE50="Muy Baja",AG50="Mayor"),AND(AE50="Baja",AG50="Mayor"),AND(AE50="Media",AG50="Mayor"),AND(AE50="Alta",AG50="Moderado"),AND(AE50="Alta",AG50="Mayor"),AND(AE50="Muy Alta",AG50="Leve"),AND(AE50="Muy Alta",AG50="Menor"),AND(AE50="Muy Alta",AG50="Moderado"),AND(AE50="Muy Alta",AG50="Mayor")),"Alto",IF(OR(AND(AE50="Muy Baja",AG50="Catastrófico"),AND(AE50="Baja",AG50="Catastrófico"),AND(AE50="Media",AG50="Catastrófico"),AND(AE50="Alta",AG50="Catastrófico"),AND(AE50="Muy Alta",AG50="Catastrófico")),"Extremo","")))),"")</f>
        <v>Moderado</v>
      </c>
      <c r="AJ50" s="213" t="str">
        <f t="shared" si="14"/>
        <v>Moderado</v>
      </c>
      <c r="AK50" s="248" t="s">
        <v>119</v>
      </c>
      <c r="AL50" s="65"/>
      <c r="AM50" s="65"/>
      <c r="AN50" s="65"/>
      <c r="AO50" s="65"/>
      <c r="AP50" s="65"/>
      <c r="AQ50" s="65"/>
      <c r="AR50" s="65"/>
      <c r="AS50" s="65"/>
      <c r="AT50" s="65"/>
      <c r="AU50" s="65"/>
      <c r="AV50" s="65"/>
      <c r="AW50" s="65"/>
      <c r="AX50" s="65"/>
      <c r="AY50" s="65"/>
      <c r="AZ50" s="65"/>
      <c r="BA50" s="65"/>
      <c r="BB50" s="65"/>
      <c r="BC50" s="65"/>
      <c r="BD50" s="65"/>
      <c r="BE50" s="65"/>
      <c r="BF50" s="65"/>
      <c r="BG50" s="65"/>
      <c r="BH50" s="65"/>
      <c r="BI50" s="65"/>
      <c r="BJ50" s="65"/>
      <c r="BK50" s="65"/>
      <c r="BL50" s="65"/>
      <c r="BM50" s="65"/>
      <c r="BN50" s="65"/>
      <c r="BO50" s="65"/>
      <c r="BP50" s="65"/>
      <c r="BQ50" s="65"/>
      <c r="BR50" s="65"/>
      <c r="BS50" s="65"/>
      <c r="BT50" s="65"/>
      <c r="BU50" s="65"/>
      <c r="BV50" s="65"/>
      <c r="BW50" s="65"/>
      <c r="BX50" s="65"/>
      <c r="BY50" s="65"/>
      <c r="BZ50" s="65"/>
      <c r="CA50" s="65"/>
      <c r="CB50" s="65"/>
    </row>
    <row r="51" spans="1:80" ht="132.75" customHeight="1" x14ac:dyDescent="0.2">
      <c r="A51" s="685"/>
      <c r="B51" s="781"/>
      <c r="C51" s="784"/>
      <c r="D51" s="790"/>
      <c r="E51" s="694"/>
      <c r="F51" s="742"/>
      <c r="G51" s="742"/>
      <c r="H51" s="742"/>
      <c r="I51" s="661"/>
      <c r="J51" s="647"/>
      <c r="K51" s="609"/>
      <c r="L51" s="609"/>
      <c r="M51" s="572"/>
      <c r="N51" s="571"/>
      <c r="O51" s="771"/>
      <c r="P51" s="572"/>
      <c r="Q51" s="571"/>
      <c r="R51" s="563"/>
      <c r="S51" s="144">
        <v>2</v>
      </c>
      <c r="T51" s="267" t="s">
        <v>693</v>
      </c>
      <c r="U51" s="140" t="str">
        <f>IF(OR(V52="Preventivo",V52="Detectivo"),"Probabilidad",IF(V52="Correctivo","Impacto",""))</f>
        <v>Probabilidad</v>
      </c>
      <c r="V51" s="248" t="s">
        <v>411</v>
      </c>
      <c r="W51" s="145" t="s">
        <v>7</v>
      </c>
      <c r="X51" s="139" t="str">
        <f t="shared" si="18"/>
        <v>40%</v>
      </c>
      <c r="Y51" s="145" t="s">
        <v>17</v>
      </c>
      <c r="Z51" s="145" t="s">
        <v>20</v>
      </c>
      <c r="AA51" s="145" t="s">
        <v>105</v>
      </c>
      <c r="AB51" s="245"/>
      <c r="AC51" s="364" t="s">
        <v>341</v>
      </c>
      <c r="AD51" s="141">
        <v>0.6</v>
      </c>
      <c r="AE51" s="143" t="str">
        <f>IFERROR(IF(AD52="","",IF(AD52&lt;=0.2,"Muy Baja",IF(AD52&lt;=0.4,"Baja",IF(AD52&lt;=0.6,"Media",IF(AD52&lt;=0.8,"Alta","Muy Alta"))))),"")</f>
        <v>Media</v>
      </c>
      <c r="AF51" s="139">
        <f>+AD52</f>
        <v>0.6</v>
      </c>
      <c r="AG51" s="143" t="str">
        <f>IFERROR(IF(AH51="","",IF(AH51&lt;=0.2,"Leve",IF(AH51&lt;=0.4,"Menor",IF(AH51&lt;=0.6,"Moderado",IF(AH51&lt;=0.8,"Mayor","Catastrófico"))))),"")</f>
        <v>Moderado</v>
      </c>
      <c r="AH51" s="139">
        <v>0.6</v>
      </c>
      <c r="AI51" s="213" t="str">
        <f t="shared" si="19"/>
        <v>Moderado</v>
      </c>
      <c r="AJ51" s="213" t="str">
        <f t="shared" si="14"/>
        <v>Moderado</v>
      </c>
      <c r="AK51" s="250" t="s">
        <v>119</v>
      </c>
    </row>
    <row r="52" spans="1:80" ht="87.75" customHeight="1" x14ac:dyDescent="0.2">
      <c r="A52" s="685"/>
      <c r="B52" s="782"/>
      <c r="C52" s="785"/>
      <c r="D52" s="791"/>
      <c r="E52" s="695"/>
      <c r="F52" s="576"/>
      <c r="G52" s="576"/>
      <c r="H52" s="576"/>
      <c r="I52" s="654"/>
      <c r="J52" s="655"/>
      <c r="K52" s="595"/>
      <c r="L52" s="595"/>
      <c r="M52" s="566"/>
      <c r="N52" s="568"/>
      <c r="O52" s="772"/>
      <c r="P52" s="566"/>
      <c r="Q52" s="568"/>
      <c r="R52" s="564"/>
      <c r="S52" s="144">
        <v>3</v>
      </c>
      <c r="T52" s="267" t="s">
        <v>342</v>
      </c>
      <c r="U52" s="140" t="s">
        <v>1</v>
      </c>
      <c r="V52" s="248" t="s">
        <v>411</v>
      </c>
      <c r="W52" s="248" t="s">
        <v>7</v>
      </c>
      <c r="X52" s="139" t="str">
        <f t="shared" si="18"/>
        <v>40%</v>
      </c>
      <c r="Y52" s="248" t="s">
        <v>17</v>
      </c>
      <c r="Z52" s="248" t="s">
        <v>20</v>
      </c>
      <c r="AA52" s="248" t="s">
        <v>105</v>
      </c>
      <c r="AB52" s="245"/>
      <c r="AC52" s="364" t="s">
        <v>341</v>
      </c>
      <c r="AD52" s="141">
        <v>0.6</v>
      </c>
      <c r="AE52" s="143" t="str">
        <f>IFERROR(IF(AD74="","",IF(AD74&lt;=0.2,"Muy Baja",IF(AD74&lt;=0.4,"Baja",IF(AD74&lt;=0.6,"Media",IF(AD74&lt;=0.8,"Alta","Muy Alta"))))),"")</f>
        <v>Media</v>
      </c>
      <c r="AF52" s="139">
        <f>+AD53</f>
        <v>0.6</v>
      </c>
      <c r="AG52" s="143" t="str">
        <f>IFERROR(IF(AH52="","",IF(AH52&lt;=0.2,"Leve",IF(AH52&lt;=0.4,"Menor",IF(AH52&lt;=0.6,"Moderado",IF(AH52&lt;=0.8,"Mayor","Catastrófico"))))),"")</f>
        <v>Moderado</v>
      </c>
      <c r="AH52" s="139">
        <v>0.6</v>
      </c>
      <c r="AI52" s="213" t="str">
        <f t="shared" si="19"/>
        <v>Moderado</v>
      </c>
      <c r="AJ52" s="351" t="str">
        <f t="shared" ref="AJ52:AJ59" si="20">+AI77</f>
        <v>Moderado</v>
      </c>
      <c r="AK52" s="248" t="s">
        <v>119</v>
      </c>
    </row>
    <row r="53" spans="1:80" s="134" customFormat="1" ht="102" customHeight="1" x14ac:dyDescent="0.2">
      <c r="A53" s="685"/>
      <c r="B53" s="780">
        <v>6</v>
      </c>
      <c r="C53" s="783" t="s">
        <v>267</v>
      </c>
      <c r="D53" s="789" t="s">
        <v>203</v>
      </c>
      <c r="E53" s="693">
        <v>22</v>
      </c>
      <c r="F53" s="575" t="s">
        <v>835</v>
      </c>
      <c r="G53" s="653" t="s">
        <v>460</v>
      </c>
      <c r="H53" s="653" t="s">
        <v>268</v>
      </c>
      <c r="I53" s="653" t="s">
        <v>213</v>
      </c>
      <c r="J53" s="592" t="s">
        <v>227</v>
      </c>
      <c r="K53" s="594" t="s">
        <v>199</v>
      </c>
      <c r="L53" s="594">
        <v>17865</v>
      </c>
      <c r="M53" s="565" t="str">
        <f>IF(L53&lt;=0,"",IF(L53&lt;=2,"Muy Baja",IF(L53&lt;=24,"Baja",IF(L53&lt;=500,"Media",IF(L53&lt;=5000,"Alta","Muy Alta")))))</f>
        <v>Muy Alta</v>
      </c>
      <c r="N53" s="567">
        <f>IF(M53="","",IF(M53="Muy Baja",0.2,IF(M53="Baja",0.4,IF(M53="Media",0.6,IF(M53="Alta",0.8,IF(M53="Muy Alta",1,))))))</f>
        <v>1</v>
      </c>
      <c r="O53" s="707" t="s">
        <v>104</v>
      </c>
      <c r="P53" s="565" t="s">
        <v>5</v>
      </c>
      <c r="Q53" s="567">
        <v>0.8</v>
      </c>
      <c r="R53" s="562" t="s">
        <v>67</v>
      </c>
      <c r="S53" s="144">
        <v>1</v>
      </c>
      <c r="T53" s="267" t="s">
        <v>683</v>
      </c>
      <c r="U53" s="140" t="s">
        <v>1</v>
      </c>
      <c r="V53" s="248" t="s">
        <v>411</v>
      </c>
      <c r="W53" s="248" t="s">
        <v>7</v>
      </c>
      <c r="X53" s="139" t="str">
        <f t="shared" si="18"/>
        <v>40%</v>
      </c>
      <c r="Y53" s="248" t="s">
        <v>17</v>
      </c>
      <c r="Z53" s="248" t="s">
        <v>20</v>
      </c>
      <c r="AA53" s="248" t="s">
        <v>105</v>
      </c>
      <c r="AB53" s="245"/>
      <c r="AC53" s="364" t="s">
        <v>343</v>
      </c>
      <c r="AD53" s="141">
        <v>0.6</v>
      </c>
      <c r="AE53" s="143" t="s">
        <v>4</v>
      </c>
      <c r="AF53" s="139">
        <v>0.8</v>
      </c>
      <c r="AG53" s="143" t="str">
        <f t="shared" ref="AG53:AG79" si="21">IFERROR(IF(AH53="","",IF(AH53&lt;=0.2,"Leve",IF(AH53&lt;=0.4,"Menor",IF(AH53&lt;=0.6,"Moderado",IF(AH53&lt;=0.8,"Mayor","Catastrófico"))))),"")</f>
        <v>Moderado</v>
      </c>
      <c r="AH53" s="139">
        <v>0.6</v>
      </c>
      <c r="AI53" s="213" t="str">
        <f t="shared" si="19"/>
        <v>Alto</v>
      </c>
      <c r="AJ53" s="351" t="str">
        <f t="shared" si="20"/>
        <v>Moderado</v>
      </c>
      <c r="AK53" s="248" t="s">
        <v>119</v>
      </c>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4"/>
      <c r="BR53" s="234"/>
      <c r="BS53" s="234"/>
      <c r="BT53" s="234"/>
      <c r="BU53" s="234"/>
      <c r="BV53" s="234"/>
      <c r="BW53" s="234"/>
      <c r="BX53" s="234"/>
      <c r="BY53" s="234"/>
      <c r="BZ53" s="234"/>
      <c r="CA53" s="234"/>
      <c r="CB53" s="234"/>
    </row>
    <row r="54" spans="1:80" s="134" customFormat="1" ht="89.25" customHeight="1" x14ac:dyDescent="0.2">
      <c r="A54" s="685"/>
      <c r="B54" s="781"/>
      <c r="C54" s="784"/>
      <c r="D54" s="790"/>
      <c r="E54" s="695"/>
      <c r="F54" s="576"/>
      <c r="G54" s="654"/>
      <c r="H54" s="654"/>
      <c r="I54" s="654"/>
      <c r="J54" s="655"/>
      <c r="K54" s="595"/>
      <c r="L54" s="595"/>
      <c r="M54" s="566"/>
      <c r="N54" s="568"/>
      <c r="O54" s="708"/>
      <c r="P54" s="566"/>
      <c r="Q54" s="568"/>
      <c r="R54" s="564"/>
      <c r="S54" s="144">
        <v>2</v>
      </c>
      <c r="T54" s="267" t="s">
        <v>269</v>
      </c>
      <c r="U54" s="140" t="s">
        <v>1</v>
      </c>
      <c r="V54" s="248" t="s">
        <v>411</v>
      </c>
      <c r="W54" s="248" t="s">
        <v>7</v>
      </c>
      <c r="X54" s="139" t="str">
        <f t="shared" si="18"/>
        <v>40%</v>
      </c>
      <c r="Y54" s="248" t="s">
        <v>17</v>
      </c>
      <c r="Z54" s="248" t="s">
        <v>20</v>
      </c>
      <c r="AA54" s="248" t="s">
        <v>105</v>
      </c>
      <c r="AB54" s="245"/>
      <c r="AC54" s="364" t="s">
        <v>344</v>
      </c>
      <c r="AD54" s="141">
        <v>0.6</v>
      </c>
      <c r="AE54" s="143" t="s">
        <v>4</v>
      </c>
      <c r="AF54" s="139">
        <f>+AD76</f>
        <v>0.6</v>
      </c>
      <c r="AG54" s="143" t="str">
        <f t="shared" si="21"/>
        <v>Moderado</v>
      </c>
      <c r="AH54" s="139">
        <v>0.6</v>
      </c>
      <c r="AI54" s="213" t="str">
        <f t="shared" si="19"/>
        <v>Alto</v>
      </c>
      <c r="AJ54" s="351" t="str">
        <f t="shared" si="20"/>
        <v>Moderado</v>
      </c>
      <c r="AK54" s="248" t="s">
        <v>119</v>
      </c>
      <c r="AL54" s="234"/>
      <c r="AM54" s="234"/>
      <c r="AN54" s="234"/>
      <c r="AO54" s="234"/>
      <c r="AP54" s="234"/>
      <c r="AQ54" s="234"/>
      <c r="AR54" s="234"/>
      <c r="AS54" s="234"/>
      <c r="AT54" s="234"/>
      <c r="AU54" s="234"/>
      <c r="AV54" s="234"/>
      <c r="AW54" s="234"/>
      <c r="AX54" s="234"/>
      <c r="AY54" s="234"/>
      <c r="AZ54" s="234"/>
      <c r="BA54" s="234"/>
      <c r="BB54" s="234"/>
      <c r="BC54" s="234"/>
      <c r="BD54" s="234"/>
      <c r="BE54" s="234"/>
      <c r="BF54" s="234"/>
      <c r="BG54" s="234"/>
      <c r="BH54" s="234"/>
      <c r="BI54" s="234"/>
      <c r="BJ54" s="234"/>
      <c r="BK54" s="234"/>
      <c r="BL54" s="234"/>
      <c r="BM54" s="234"/>
      <c r="BN54" s="234"/>
      <c r="BO54" s="234"/>
      <c r="BP54" s="234"/>
      <c r="BQ54" s="234"/>
      <c r="BR54" s="234"/>
      <c r="BS54" s="234"/>
      <c r="BT54" s="234"/>
      <c r="BU54" s="234"/>
      <c r="BV54" s="234"/>
      <c r="BW54" s="234"/>
      <c r="BX54" s="234"/>
      <c r="BY54" s="234"/>
      <c r="BZ54" s="234"/>
      <c r="CA54" s="234"/>
      <c r="CB54" s="234"/>
    </row>
    <row r="55" spans="1:80" s="134" customFormat="1" ht="309.75" customHeight="1" x14ac:dyDescent="0.2">
      <c r="A55" s="685"/>
      <c r="B55" s="781"/>
      <c r="C55" s="784"/>
      <c r="D55" s="790"/>
      <c r="E55" s="693">
        <v>23</v>
      </c>
      <c r="F55" s="575" t="s">
        <v>836</v>
      </c>
      <c r="G55" s="575" t="s">
        <v>390</v>
      </c>
      <c r="H55" s="575" t="s">
        <v>448</v>
      </c>
      <c r="I55" s="653" t="s">
        <v>213</v>
      </c>
      <c r="J55" s="592" t="s">
        <v>227</v>
      </c>
      <c r="K55" s="594" t="s">
        <v>345</v>
      </c>
      <c r="L55" s="773">
        <v>4800</v>
      </c>
      <c r="M55" s="565" t="str">
        <f>IF(L55&lt;=0,"",IF(L55&lt;=2,"Muy Baja",IF(L55&lt;=24,"Baja",IF(L55&lt;=500,"Media",IF(L55&lt;=5000,"Alta","Muy Alta")))))</f>
        <v>Alta</v>
      </c>
      <c r="N55" s="567">
        <f>IF(M55="","",IF(M55="Muy Baja",0.2,IF(M55="Baja",0.4,IF(M55="Media",0.6,IF(M55="Alta",0.8,IF(M55="Muy Alta",1,))))))</f>
        <v>0.8</v>
      </c>
      <c r="O55" s="770" t="s">
        <v>85</v>
      </c>
      <c r="P55" s="565" t="s">
        <v>68</v>
      </c>
      <c r="Q55" s="567">
        <v>0.6</v>
      </c>
      <c r="R55" s="562" t="s">
        <v>68</v>
      </c>
      <c r="S55" s="144">
        <v>1</v>
      </c>
      <c r="T55" s="267" t="s">
        <v>656</v>
      </c>
      <c r="U55" s="140" t="s">
        <v>2</v>
      </c>
      <c r="V55" s="248" t="s">
        <v>411</v>
      </c>
      <c r="W55" s="248" t="s">
        <v>7</v>
      </c>
      <c r="X55" s="139" t="str">
        <f t="shared" si="18"/>
        <v>40%</v>
      </c>
      <c r="Y55" s="248" t="s">
        <v>17</v>
      </c>
      <c r="Z55" s="248" t="s">
        <v>20</v>
      </c>
      <c r="AA55" s="248" t="s">
        <v>105</v>
      </c>
      <c r="AB55" s="244"/>
      <c r="AC55" s="364" t="s">
        <v>506</v>
      </c>
      <c r="AD55" s="141">
        <v>0.6</v>
      </c>
      <c r="AE55" s="143" t="str">
        <f>IFERROR(IF(AD77="","",IF(AD77&lt;=0.2,"Muy Baja",IF(AD77&lt;=0.4,"Baja",IF(AD77&lt;=0.6,"Media",IF(AD77&lt;=0.8,"Alta","Muy Alta"))))),"")</f>
        <v>Media</v>
      </c>
      <c r="AF55" s="139">
        <f>+AD77</f>
        <v>0.6</v>
      </c>
      <c r="AG55" s="143" t="str">
        <f t="shared" si="21"/>
        <v>Moderado</v>
      </c>
      <c r="AH55" s="139">
        <v>0.6</v>
      </c>
      <c r="AI55" s="213" t="str">
        <f t="shared" si="19"/>
        <v>Moderado</v>
      </c>
      <c r="AJ55" s="351" t="str">
        <f t="shared" si="20"/>
        <v>Moderado</v>
      </c>
      <c r="AK55" s="248" t="s">
        <v>119</v>
      </c>
      <c r="AL55" s="234"/>
      <c r="AM55" s="234"/>
      <c r="AN55" s="234"/>
      <c r="AO55" s="234"/>
      <c r="AP55" s="234"/>
      <c r="AQ55" s="234"/>
      <c r="AR55" s="234"/>
      <c r="AS55" s="234"/>
      <c r="AT55" s="234"/>
      <c r="AU55" s="234"/>
      <c r="AV55" s="234"/>
      <c r="AW55" s="234"/>
      <c r="AX55" s="234"/>
      <c r="AY55" s="234"/>
      <c r="AZ55" s="234"/>
      <c r="BA55" s="234"/>
      <c r="BB55" s="234"/>
      <c r="BC55" s="234"/>
      <c r="BD55" s="234"/>
      <c r="BE55" s="234"/>
      <c r="BF55" s="234"/>
      <c r="BG55" s="234"/>
      <c r="BH55" s="234"/>
      <c r="BI55" s="234"/>
      <c r="BJ55" s="234"/>
      <c r="BK55" s="234"/>
      <c r="BL55" s="234"/>
      <c r="BM55" s="234"/>
      <c r="BN55" s="234"/>
      <c r="BO55" s="234"/>
      <c r="BP55" s="234"/>
      <c r="BQ55" s="234"/>
      <c r="BR55" s="234"/>
      <c r="BS55" s="234"/>
      <c r="BT55" s="234"/>
      <c r="BU55" s="234"/>
      <c r="BV55" s="234"/>
      <c r="BW55" s="234"/>
      <c r="BX55" s="234"/>
      <c r="BY55" s="234"/>
      <c r="BZ55" s="234"/>
      <c r="CA55" s="234"/>
      <c r="CB55" s="234"/>
    </row>
    <row r="56" spans="1:80" s="134" customFormat="1" ht="358.5" customHeight="1" x14ac:dyDescent="0.2">
      <c r="A56" s="685"/>
      <c r="B56" s="781"/>
      <c r="C56" s="784"/>
      <c r="D56" s="790"/>
      <c r="E56" s="694"/>
      <c r="F56" s="742"/>
      <c r="G56" s="742"/>
      <c r="H56" s="742"/>
      <c r="I56" s="661"/>
      <c r="J56" s="647"/>
      <c r="K56" s="609"/>
      <c r="L56" s="774"/>
      <c r="M56" s="572"/>
      <c r="N56" s="571"/>
      <c r="O56" s="771"/>
      <c r="P56" s="572"/>
      <c r="Q56" s="571"/>
      <c r="R56" s="563"/>
      <c r="S56" s="144">
        <v>2</v>
      </c>
      <c r="T56" s="267" t="s">
        <v>657</v>
      </c>
      <c r="U56" s="140" t="s">
        <v>2</v>
      </c>
      <c r="V56" s="248" t="s">
        <v>411</v>
      </c>
      <c r="W56" s="248" t="s">
        <v>7</v>
      </c>
      <c r="X56" s="139" t="str">
        <f t="shared" si="18"/>
        <v>40%</v>
      </c>
      <c r="Y56" s="248" t="s">
        <v>17</v>
      </c>
      <c r="Z56" s="248" t="s">
        <v>20</v>
      </c>
      <c r="AA56" s="248" t="s">
        <v>105</v>
      </c>
      <c r="AB56" s="210"/>
      <c r="AC56" s="364" t="s">
        <v>686</v>
      </c>
      <c r="AD56" s="141">
        <v>0.6</v>
      </c>
      <c r="AE56" s="143" t="str">
        <f>IFERROR(IF(AD77="","",IF(AD77&lt;=0.2,"Muy Baja",IF(AD77&lt;=0.4,"Baja",IF(AD77&lt;=0.6,"Media",IF(AD77&lt;=0.8,"Alta","Muy Alta"))))),"")</f>
        <v>Media</v>
      </c>
      <c r="AF56" s="139">
        <f>+AD77</f>
        <v>0.6</v>
      </c>
      <c r="AG56" s="143" t="str">
        <f t="shared" si="21"/>
        <v>Moderado</v>
      </c>
      <c r="AH56" s="139">
        <v>0.6</v>
      </c>
      <c r="AI56" s="213" t="str">
        <f t="shared" si="19"/>
        <v>Moderado</v>
      </c>
      <c r="AJ56" s="351" t="str">
        <f t="shared" si="20"/>
        <v>Moderado</v>
      </c>
      <c r="AK56" s="248" t="s">
        <v>119</v>
      </c>
      <c r="AL56" s="234"/>
      <c r="AM56" s="234"/>
      <c r="AN56" s="234"/>
      <c r="AO56" s="234"/>
      <c r="AP56" s="234"/>
      <c r="AQ56" s="234"/>
      <c r="AR56" s="234"/>
      <c r="AS56" s="234"/>
      <c r="AT56" s="234"/>
      <c r="AU56" s="234"/>
      <c r="AV56" s="234"/>
      <c r="AW56" s="234"/>
      <c r="AX56" s="234"/>
      <c r="AY56" s="234"/>
      <c r="AZ56" s="234"/>
      <c r="BA56" s="234"/>
      <c r="BB56" s="234"/>
      <c r="BC56" s="234"/>
      <c r="BD56" s="234"/>
      <c r="BE56" s="234"/>
      <c r="BF56" s="234"/>
      <c r="BG56" s="234"/>
      <c r="BH56" s="234"/>
      <c r="BI56" s="234"/>
      <c r="BJ56" s="234"/>
      <c r="BK56" s="234"/>
      <c r="BL56" s="234"/>
      <c r="BM56" s="234"/>
      <c r="BN56" s="234"/>
      <c r="BO56" s="234"/>
      <c r="BP56" s="234"/>
      <c r="BQ56" s="234"/>
      <c r="BR56" s="234"/>
      <c r="BS56" s="234"/>
      <c r="BT56" s="234"/>
      <c r="BU56" s="234"/>
      <c r="BV56" s="234"/>
      <c r="BW56" s="234"/>
      <c r="BX56" s="234"/>
      <c r="BY56" s="234"/>
      <c r="BZ56" s="234"/>
      <c r="CA56" s="234"/>
      <c r="CB56" s="234"/>
    </row>
    <row r="57" spans="1:80" s="134" customFormat="1" ht="151.5" customHeight="1" x14ac:dyDescent="0.2">
      <c r="A57" s="685"/>
      <c r="B57" s="781"/>
      <c r="C57" s="784"/>
      <c r="D57" s="790"/>
      <c r="E57" s="694"/>
      <c r="F57" s="742"/>
      <c r="G57" s="742"/>
      <c r="H57" s="742"/>
      <c r="I57" s="661"/>
      <c r="J57" s="647"/>
      <c r="K57" s="609"/>
      <c r="L57" s="774"/>
      <c r="M57" s="572"/>
      <c r="N57" s="571"/>
      <c r="O57" s="771"/>
      <c r="P57" s="572"/>
      <c r="Q57" s="571"/>
      <c r="R57" s="563"/>
      <c r="S57" s="144">
        <v>3</v>
      </c>
      <c r="T57" s="267" t="s">
        <v>469</v>
      </c>
      <c r="U57" s="140" t="s">
        <v>2</v>
      </c>
      <c r="V57" s="248" t="s">
        <v>411</v>
      </c>
      <c r="W57" s="248" t="s">
        <v>7</v>
      </c>
      <c r="X57" s="139" t="str">
        <f>IF(AND(V57="Preventivo",W56="Automático"),"50%",IF(AND(V57="Preventivo",W56="Manual"),"40%",IF(AND(V57="Detectivo",W56="Automático"),"40%",IF(AND(V57="Detectivo",W56="Manual"),"30%",IF(AND(V57="Correctivo",W56="Automático"),"35%",IF(AND(V57="Correctivo",W56="Manual"),"25%",""))))))</f>
        <v>40%</v>
      </c>
      <c r="Y57" s="248" t="s">
        <v>17</v>
      </c>
      <c r="Z57" s="248" t="s">
        <v>20</v>
      </c>
      <c r="AA57" s="248" t="s">
        <v>105</v>
      </c>
      <c r="AB57" s="265"/>
      <c r="AC57" s="364" t="s">
        <v>507</v>
      </c>
      <c r="AD57" s="141">
        <v>0.6</v>
      </c>
      <c r="AE57" s="143" t="str">
        <f>IFERROR(IF(AD78="","",IF(AD78&lt;=0.2,"Muy Baja",IF(AD78&lt;=0.4,"Baja",IF(AD78&lt;=0.6,"Media",IF(AD78&lt;=0.8,"Alta","Muy Alta"))))),"")</f>
        <v>Media</v>
      </c>
      <c r="AF57" s="139">
        <f>+AD78</f>
        <v>0.6</v>
      </c>
      <c r="AG57" s="143" t="str">
        <f t="shared" si="21"/>
        <v>Moderado</v>
      </c>
      <c r="AH57" s="139">
        <v>0.6</v>
      </c>
      <c r="AI57" s="213" t="str">
        <f>IFERROR(IF(OR(AND(AE58="Muy Baja",AG57="Leve"),AND(AE58="Muy Baja",AG57="Menor"),AND(AE58="Baja",AG57="Leve")),"Bajo",IF(OR(AND(AE58="Muy baja",AG57="Moderado"),AND(AE58="Baja",AG57="Menor"),AND(AE58="Baja",AG57="Moderado"),AND(AE58="Media",AG57="Leve"),AND(AE58="Media",AG57="Menor"),AND(AE58="Media",AG57="Moderado"),AND(AE58="Alta",AG57="Leve"),AND(AE58="Alta",AG57="Menor")),"Moderado",IF(OR(AND(AE58="Muy Baja",AG57="Mayor"),AND(AE58="Baja",AG57="Mayor"),AND(AE58="Media",AG57="Mayor"),AND(AE58="Alta",AG57="Moderado"),AND(AE58="Alta",AG57="Mayor"),AND(AE58="Muy Alta",AG57="Leve"),AND(AE58="Muy Alta",AG57="Menor"),AND(AE58="Muy Alta",AG57="Moderado"),AND(AE58="Muy Alta",AG57="Mayor")),"Alto",IF(OR(AND(AE58="Muy Baja",AG57="Catastrófico"),AND(AE58="Baja",AG57="Catastrófico"),AND(AE58="Media",AG57="Catastrófico"),AND(AE58="Alta",AG57="Catastrófico"),AND(AE58="Muy Alta",AG57="Catastrófico")),"Extremo","")))),"")</f>
        <v>Moderado</v>
      </c>
      <c r="AJ57" s="351" t="str">
        <f t="shared" si="20"/>
        <v>Moderado</v>
      </c>
      <c r="AK57" s="248" t="s">
        <v>119</v>
      </c>
      <c r="AL57" s="234"/>
      <c r="AM57" s="234"/>
      <c r="AN57" s="234"/>
      <c r="AO57" s="234"/>
      <c r="AP57" s="234"/>
      <c r="AQ57" s="234"/>
      <c r="AR57" s="234"/>
      <c r="AS57" s="234"/>
      <c r="AT57" s="234"/>
      <c r="AU57" s="234"/>
      <c r="AV57" s="234"/>
      <c r="AW57" s="234"/>
      <c r="AX57" s="234"/>
      <c r="AY57" s="234"/>
      <c r="AZ57" s="234"/>
      <c r="BA57" s="234"/>
      <c r="BB57" s="234"/>
      <c r="BC57" s="234"/>
      <c r="BD57" s="234"/>
      <c r="BE57" s="234"/>
      <c r="BF57" s="234"/>
      <c r="BG57" s="234"/>
      <c r="BH57" s="234"/>
      <c r="BI57" s="234"/>
      <c r="BJ57" s="234"/>
      <c r="BK57" s="234"/>
      <c r="BL57" s="234"/>
      <c r="BM57" s="234"/>
      <c r="BN57" s="234"/>
      <c r="BO57" s="234"/>
      <c r="BP57" s="234"/>
      <c r="BQ57" s="234"/>
      <c r="BR57" s="234"/>
      <c r="BS57" s="234"/>
      <c r="BT57" s="234"/>
      <c r="BU57" s="234"/>
      <c r="BV57" s="234"/>
      <c r="BW57" s="234"/>
      <c r="BX57" s="234"/>
      <c r="BY57" s="234"/>
      <c r="BZ57" s="234"/>
      <c r="CA57" s="234"/>
      <c r="CB57" s="234"/>
    </row>
    <row r="58" spans="1:80" s="134" customFormat="1" ht="156.75" customHeight="1" x14ac:dyDescent="0.2">
      <c r="A58" s="685"/>
      <c r="B58" s="781"/>
      <c r="C58" s="784"/>
      <c r="D58" s="790"/>
      <c r="E58" s="695"/>
      <c r="F58" s="576"/>
      <c r="G58" s="576"/>
      <c r="H58" s="576"/>
      <c r="I58" s="654"/>
      <c r="J58" s="655"/>
      <c r="K58" s="595"/>
      <c r="L58" s="775"/>
      <c r="M58" s="566"/>
      <c r="N58" s="568"/>
      <c r="O58" s="772"/>
      <c r="P58" s="566"/>
      <c r="Q58" s="568"/>
      <c r="R58" s="564"/>
      <c r="S58" s="144">
        <v>4</v>
      </c>
      <c r="T58" s="267" t="s">
        <v>634</v>
      </c>
      <c r="U58" s="140" t="s">
        <v>2</v>
      </c>
      <c r="V58" s="248" t="s">
        <v>411</v>
      </c>
      <c r="W58" s="248" t="s">
        <v>7</v>
      </c>
      <c r="X58" s="139" t="str">
        <f>IF(AND(V58="Preventivo",W57="Automático"),"50%",IF(AND(V58="Preventivo",W57="Manual"),"40%",IF(AND(V58="Detectivo",W57="Automático"),"40%",IF(AND(V58="Detectivo",W57="Manual"),"30%",IF(AND(V58="Correctivo",W57="Automático"),"35%",IF(AND(V58="Correctivo",W57="Manual"),"25%",""))))))</f>
        <v>40%</v>
      </c>
      <c r="Y58" s="248" t="s">
        <v>17</v>
      </c>
      <c r="Z58" s="248" t="s">
        <v>20</v>
      </c>
      <c r="AA58" s="248" t="s">
        <v>105</v>
      </c>
      <c r="AB58" s="210"/>
      <c r="AC58" s="364" t="s">
        <v>635</v>
      </c>
      <c r="AD58" s="141">
        <v>0.6</v>
      </c>
      <c r="AE58" s="143" t="str">
        <f>IFERROR(IF(AD79="","",IF(AD79&lt;=0.2,"Muy Baja",IF(AD79&lt;=0.4,"Baja",IF(AD79&lt;=0.6,"Media",IF(AD79&lt;=0.8,"Alta","Muy Alta"))))),"")</f>
        <v>Media</v>
      </c>
      <c r="AF58" s="139">
        <f>+AD79</f>
        <v>0.6</v>
      </c>
      <c r="AG58" s="143" t="str">
        <f t="shared" si="21"/>
        <v>Moderado</v>
      </c>
      <c r="AH58" s="139">
        <v>0.6</v>
      </c>
      <c r="AI58" s="213" t="str">
        <f>IFERROR(IF(OR(AND(AE61="Muy Baja",AG58="Leve"),AND(AE61="Muy Baja",AG58="Menor"),AND(AE61="Baja",AG58="Leve")),"Bajo",IF(OR(AND(AE61="Muy baja",AG58="Moderado"),AND(AE61="Baja",AG58="Menor"),AND(AE61="Baja",AG58="Moderado"),AND(AE61="Media",AG58="Leve"),AND(AE61="Media",AG58="Menor"),AND(AE61="Media",AG58="Moderado"),AND(AE61="Alta",AG58="Leve"),AND(AE61="Alta",AG58="Menor")),"Moderado",IF(OR(AND(AE61="Muy Baja",AG58="Mayor"),AND(AE61="Baja",AG58="Mayor"),AND(AE61="Media",AG58="Mayor"),AND(AE61="Alta",AG58="Moderado"),AND(AE61="Alta",AG58="Mayor"),AND(AE61="Muy Alta",AG58="Leve"),AND(AE61="Muy Alta",AG58="Menor"),AND(AE61="Muy Alta",AG58="Moderado"),AND(AE61="Muy Alta",AG58="Mayor")),"Alto",IF(OR(AND(AE61="Muy Baja",AG58="Catastrófico"),AND(AE61="Baja",AG58="Catastrófico"),AND(AE61="Media",AG58="Catastrófico"),AND(AE61="Alta",AG58="Catastrófico"),AND(AE61="Muy Alta",AG58="Catastrófico")),"Extremo","")))),"")</f>
        <v>Moderado</v>
      </c>
      <c r="AJ58" s="351" t="str">
        <f t="shared" si="20"/>
        <v>Moderado</v>
      </c>
      <c r="AK58" s="248" t="s">
        <v>119</v>
      </c>
      <c r="AL58" s="234"/>
      <c r="AM58" s="234"/>
      <c r="AN58" s="234"/>
      <c r="AO58" s="234"/>
      <c r="AP58" s="234"/>
      <c r="AQ58" s="234"/>
      <c r="AR58" s="234"/>
      <c r="AS58" s="234"/>
      <c r="AT58" s="234"/>
      <c r="AU58" s="234"/>
      <c r="AV58" s="234"/>
      <c r="AW58" s="234"/>
      <c r="AX58" s="234"/>
      <c r="AY58" s="234"/>
      <c r="AZ58" s="234"/>
      <c r="BA58" s="234"/>
      <c r="BB58" s="234"/>
      <c r="BC58" s="234"/>
      <c r="BD58" s="234"/>
      <c r="BE58" s="234"/>
      <c r="BF58" s="234"/>
      <c r="BG58" s="234"/>
      <c r="BH58" s="234"/>
      <c r="BI58" s="234"/>
      <c r="BJ58" s="234"/>
      <c r="BK58" s="234"/>
      <c r="BL58" s="234"/>
      <c r="BM58" s="234"/>
      <c r="BN58" s="234"/>
      <c r="BO58" s="234"/>
      <c r="BP58" s="234"/>
      <c r="BQ58" s="234"/>
      <c r="BR58" s="234"/>
      <c r="BS58" s="234"/>
      <c r="BT58" s="234"/>
      <c r="BU58" s="234"/>
      <c r="BV58" s="234"/>
      <c r="BW58" s="234"/>
      <c r="BX58" s="234"/>
      <c r="BY58" s="234"/>
      <c r="BZ58" s="234"/>
      <c r="CA58" s="234"/>
      <c r="CB58" s="234"/>
    </row>
    <row r="59" spans="1:80" s="134" customFormat="1" ht="116.25" customHeight="1" x14ac:dyDescent="0.2">
      <c r="A59" s="685"/>
      <c r="B59" s="781"/>
      <c r="C59" s="784"/>
      <c r="D59" s="790"/>
      <c r="E59" s="693">
        <v>24</v>
      </c>
      <c r="F59" s="670" t="s">
        <v>837</v>
      </c>
      <c r="G59" s="575" t="s">
        <v>458</v>
      </c>
      <c r="H59" s="575" t="s">
        <v>418</v>
      </c>
      <c r="I59" s="653" t="s">
        <v>213</v>
      </c>
      <c r="J59" s="592" t="s">
        <v>223</v>
      </c>
      <c r="K59" s="594" t="s">
        <v>199</v>
      </c>
      <c r="L59" s="575">
        <v>144000</v>
      </c>
      <c r="M59" s="565" t="str">
        <f>IF(L59&lt;=0,"",IF(L59&lt;=2,"Muy Baja",IF(L59&lt;=24,"Baja",IF(L59&lt;=500,"Media",IF(L59&lt;=5000,"Alta","Muy Alta")))))</f>
        <v>Muy Alta</v>
      </c>
      <c r="N59" s="567">
        <f>IF(M59="","",IF(M59="Muy Baja",0.2,IF(M59="Baja",0.4,IF(M59="Media",0.6,IF(M59="Alta",0.8,IF(M59="Muy Alta",1,))))))</f>
        <v>1</v>
      </c>
      <c r="O59" s="707" t="s">
        <v>104</v>
      </c>
      <c r="P59" s="565" t="s">
        <v>5</v>
      </c>
      <c r="Q59" s="567">
        <v>0.8</v>
      </c>
      <c r="R59" s="562" t="s">
        <v>68</v>
      </c>
      <c r="S59" s="144">
        <v>1</v>
      </c>
      <c r="T59" s="267" t="s">
        <v>636</v>
      </c>
      <c r="U59" s="140" t="s">
        <v>2</v>
      </c>
      <c r="V59" s="248" t="s">
        <v>411</v>
      </c>
      <c r="W59" s="248" t="s">
        <v>7</v>
      </c>
      <c r="X59" s="139" t="str">
        <f>IF(AND(V59="Preventivo",W58="Automático"),"50%",IF(AND(V59="Preventivo",W58="Manual"),"40%",IF(AND(V59="Detectivo",W58="Automático"),"40%",IF(AND(V59="Detectivo",W58="Manual"),"30%",IF(AND(V59="Correctivo",W58="Automático"),"35%",IF(AND(V59="Correctivo",W58="Manual"),"25%",""))))))</f>
        <v>40%</v>
      </c>
      <c r="Y59" s="248" t="s">
        <v>17</v>
      </c>
      <c r="Z59" s="248" t="s">
        <v>20</v>
      </c>
      <c r="AA59" s="248" t="s">
        <v>105</v>
      </c>
      <c r="AB59" s="246"/>
      <c r="AC59" s="364" t="s">
        <v>658</v>
      </c>
      <c r="AD59" s="141">
        <v>1</v>
      </c>
      <c r="AE59" s="143" t="str">
        <f>IFERROR(IF(AD80="","",IF(AD80&lt;=0.2,"Muy Baja",IF(AD80&lt;=0.4,"Baja",IF(AD80&lt;=0.6,"Media",IF(AD80&lt;=0.8,"Alta","Muy Alta"))))),"")</f>
        <v>Media</v>
      </c>
      <c r="AF59" s="139">
        <v>0.8</v>
      </c>
      <c r="AG59" s="143" t="str">
        <f t="shared" si="21"/>
        <v>Moderado</v>
      </c>
      <c r="AH59" s="139">
        <v>0.6</v>
      </c>
      <c r="AI59" s="213" t="str">
        <f>IFERROR(IF(OR(AND(AE62="Muy Baja",AG59="Leve"),AND(AE62="Muy Baja",AG59="Menor"),AND(AE62="Baja",AG59="Leve")),"Bajo",IF(OR(AND(AE62="Muy baja",AG59="Moderado"),AND(AE62="Baja",AG59="Menor"),AND(AE62="Baja",AG59="Moderado"),AND(AE62="Media",AG59="Leve"),AND(AE62="Media",AG59="Menor"),AND(AE62="Media",AG59="Moderado"),AND(AE62="Alta",AG59="Leve"),AND(AE62="Alta",AG59="Menor")),"Moderado",IF(OR(AND(AE62="Muy Baja",AG59="Mayor"),AND(AE62="Baja",AG59="Mayor"),AND(AE62="Media",AG59="Mayor"),AND(AE62="Alta",AG59="Moderado"),AND(AE62="Alta",AG59="Mayor"),AND(AE62="Muy Alta",AG59="Leve"),AND(AE62="Muy Alta",AG59="Menor"),AND(AE62="Muy Alta",AG59="Moderado"),AND(AE62="Muy Alta",AG59="Mayor")),"Alto",IF(OR(AND(AE62="Muy Baja",AG59="Catastrófico"),AND(AE62="Baja",AG59="Catastrófico"),AND(AE62="Media",AG59="Catastrófico"),AND(AE62="Alta",AG59="Catastrófico"),AND(AE62="Muy Alta",AG59="Catastrófico")),"Extremo","")))),"")</f>
        <v>Moderado</v>
      </c>
      <c r="AJ59" s="351" t="str">
        <f t="shared" si="20"/>
        <v>Moderado</v>
      </c>
      <c r="AK59" s="248" t="s">
        <v>119</v>
      </c>
      <c r="AL59" s="234"/>
      <c r="AM59" s="234"/>
      <c r="AN59" s="234"/>
      <c r="AO59" s="234"/>
      <c r="AP59" s="234"/>
      <c r="AQ59" s="234"/>
      <c r="AR59" s="234"/>
      <c r="AS59" s="234"/>
      <c r="AT59" s="234"/>
      <c r="AU59" s="234"/>
      <c r="AV59" s="234"/>
      <c r="AW59" s="234"/>
      <c r="AX59" s="234"/>
      <c r="AY59" s="234"/>
      <c r="AZ59" s="234"/>
      <c r="BA59" s="234"/>
      <c r="BB59" s="234"/>
      <c r="BC59" s="234"/>
      <c r="BD59" s="234"/>
      <c r="BE59" s="234"/>
      <c r="BF59" s="234"/>
      <c r="BG59" s="234"/>
      <c r="BH59" s="234"/>
      <c r="BI59" s="234"/>
      <c r="BJ59" s="234"/>
      <c r="BK59" s="234"/>
      <c r="BL59" s="234"/>
      <c r="BM59" s="234"/>
      <c r="BN59" s="234"/>
      <c r="BO59" s="234"/>
      <c r="BP59" s="234"/>
      <c r="BQ59" s="234"/>
      <c r="BR59" s="234"/>
      <c r="BS59" s="234"/>
      <c r="BT59" s="234"/>
      <c r="BU59" s="234"/>
      <c r="BV59" s="234"/>
      <c r="BW59" s="234"/>
      <c r="BX59" s="234"/>
      <c r="BY59" s="234"/>
      <c r="BZ59" s="234"/>
      <c r="CA59" s="234"/>
      <c r="CB59" s="234"/>
    </row>
    <row r="60" spans="1:80" s="134" customFormat="1" ht="111.75" customHeight="1" x14ac:dyDescent="0.2">
      <c r="A60" s="685"/>
      <c r="B60" s="781"/>
      <c r="C60" s="784"/>
      <c r="D60" s="790"/>
      <c r="E60" s="694"/>
      <c r="F60" s="671"/>
      <c r="G60" s="742"/>
      <c r="H60" s="742"/>
      <c r="I60" s="661"/>
      <c r="J60" s="647"/>
      <c r="K60" s="609"/>
      <c r="L60" s="742"/>
      <c r="M60" s="572"/>
      <c r="N60" s="571"/>
      <c r="O60" s="743"/>
      <c r="P60" s="572"/>
      <c r="Q60" s="571"/>
      <c r="R60" s="563"/>
      <c r="S60" s="144">
        <v>2</v>
      </c>
      <c r="T60" s="267" t="s">
        <v>637</v>
      </c>
      <c r="U60" s="140" t="s">
        <v>2</v>
      </c>
      <c r="V60" s="248" t="s">
        <v>411</v>
      </c>
      <c r="W60" s="248" t="s">
        <v>7</v>
      </c>
      <c r="X60" s="139" t="str">
        <f>IF(AND(V59="Preventivo",W59="Automático"),"50%",IF(AND(V59="Preventivo",W59="Manual"),"40%",IF(AND(V59="Detectivo",W59="Automático"),"40%",IF(AND(V59="Detectivo",W59="Manual"),"30%",IF(AND(V59="Correctivo",W59="Automático"),"35%",IF(AND(V59="Correctivo",W59="Manual"),"25%",""))))))</f>
        <v>40%</v>
      </c>
      <c r="Y60" s="248" t="s">
        <v>17</v>
      </c>
      <c r="Z60" s="248" t="s">
        <v>20</v>
      </c>
      <c r="AA60" s="248" t="s">
        <v>105</v>
      </c>
      <c r="AB60" s="364"/>
      <c r="AC60" s="364" t="s">
        <v>628</v>
      </c>
      <c r="AD60" s="141">
        <v>1</v>
      </c>
      <c r="AE60" s="143" t="str">
        <f>IFERROR(IF(AD81="","",IF(AD81&lt;=0.2,"Muy Baja",IF(AD81&lt;=0.4,"Baja",IF(AD81&lt;=0.6,"Media",IF(AD81&lt;=0.8,"Alta","Muy Alta"))))),"")</f>
        <v>Media</v>
      </c>
      <c r="AF60" s="139">
        <v>0.8</v>
      </c>
      <c r="AG60" s="143" t="str">
        <f t="shared" si="21"/>
        <v>Moderado</v>
      </c>
      <c r="AH60" s="139">
        <v>0.6</v>
      </c>
      <c r="AI60" s="213" t="str">
        <f>IFERROR(IF(OR(AND(AE63="Muy Baja",AG60="Leve"),AND(AE63="Muy Baja",AG60="Menor"),AND(AE63="Baja",AG60="Leve")),"Bajo",IF(OR(AND(AE63="Muy baja",AG60="Moderado"),AND(AE63="Baja",AG60="Menor"),AND(AE63="Baja",AG60="Moderado"),AND(AE63="Media",AG60="Leve"),AND(AE63="Media",AG60="Menor"),AND(AE63="Media",AG60="Moderado"),AND(AE63="Alta",AG60="Leve"),AND(AE63="Alta",AG60="Menor")),"Moderado",IF(OR(AND(AE63="Muy Baja",AG60="Mayor"),AND(AE63="Baja",AG60="Mayor"),AND(AE63="Media",AG60="Mayor"),AND(AE63="Alta",AG60="Moderado"),AND(AE63="Alta",AG60="Mayor"),AND(AE63="Muy Alta",AG60="Leve"),AND(AE63="Muy Alta",AG60="Menor"),AND(AE63="Muy Alta",AG60="Moderado"),AND(AE63="Muy Alta",AG60="Mayor")),"Alto",IF(OR(AND(AE63="Muy Baja",AG60="Catastrófico"),AND(AE63="Baja",AG60="Catastrófico"),AND(AE63="Media",AG60="Catastrófico"),AND(AE63="Alta",AG60="Catastrófico"),AND(AE63="Muy Alta",AG60="Catastrófico")),"Extremo","")))),"")</f>
        <v>Moderado</v>
      </c>
      <c r="AJ60" s="351" t="str">
        <f>+AI86</f>
        <v>Moderado</v>
      </c>
      <c r="AK60" s="248" t="s">
        <v>119</v>
      </c>
      <c r="AL60" s="234"/>
      <c r="AM60" s="234"/>
      <c r="AN60" s="234"/>
      <c r="AO60" s="234"/>
      <c r="AP60" s="234"/>
      <c r="AQ60" s="234"/>
      <c r="AR60" s="234"/>
      <c r="AS60" s="234"/>
      <c r="AT60" s="234"/>
      <c r="AU60" s="234"/>
      <c r="AV60" s="234"/>
      <c r="AW60" s="234"/>
      <c r="AX60" s="234"/>
      <c r="AY60" s="234"/>
      <c r="AZ60" s="234"/>
      <c r="BA60" s="234"/>
      <c r="BB60" s="234"/>
      <c r="BC60" s="234"/>
      <c r="BD60" s="234"/>
      <c r="BE60" s="234"/>
      <c r="BF60" s="234"/>
      <c r="BG60" s="234"/>
      <c r="BH60" s="234"/>
      <c r="BI60" s="234"/>
      <c r="BJ60" s="234"/>
      <c r="BK60" s="234"/>
      <c r="BL60" s="234"/>
      <c r="BM60" s="234"/>
      <c r="BN60" s="234"/>
      <c r="BO60" s="234"/>
      <c r="BP60" s="234"/>
      <c r="BQ60" s="234"/>
      <c r="BR60" s="234"/>
      <c r="BS60" s="234"/>
      <c r="BT60" s="234"/>
      <c r="BU60" s="234"/>
      <c r="BV60" s="234"/>
      <c r="BW60" s="234"/>
      <c r="BX60" s="234"/>
      <c r="BY60" s="234"/>
      <c r="BZ60" s="234"/>
      <c r="CA60" s="234"/>
      <c r="CB60" s="234"/>
    </row>
    <row r="61" spans="1:80" s="134" customFormat="1" ht="82.5" customHeight="1" x14ac:dyDescent="0.2">
      <c r="A61" s="685"/>
      <c r="B61" s="781"/>
      <c r="C61" s="784"/>
      <c r="D61" s="790"/>
      <c r="E61" s="695"/>
      <c r="F61" s="672"/>
      <c r="G61" s="576"/>
      <c r="H61" s="576"/>
      <c r="I61" s="654"/>
      <c r="J61" s="655"/>
      <c r="K61" s="595"/>
      <c r="L61" s="576"/>
      <c r="M61" s="566"/>
      <c r="N61" s="568"/>
      <c r="O61" s="708"/>
      <c r="P61" s="566"/>
      <c r="Q61" s="568"/>
      <c r="R61" s="564"/>
      <c r="S61" s="144">
        <v>3</v>
      </c>
      <c r="T61" s="267" t="s">
        <v>476</v>
      </c>
      <c r="U61" s="140" t="s">
        <v>2</v>
      </c>
      <c r="V61" s="248" t="s">
        <v>411</v>
      </c>
      <c r="W61" s="248" t="s">
        <v>7</v>
      </c>
      <c r="X61" s="139" t="str">
        <f>IF(AND(V58="Preventivo",W57="Automático"),"50%",IF(AND(V58="Preventivo",W57="Manual"),"40%",IF(AND(V58="Detectivo",W57="Automático"),"40%",IF(AND(V58="Detectivo",W57="Manual"),"30%",IF(AND(V58="Correctivo",W57="Automático"),"35%",IF(AND(V58="Correctivo",W57="Manual"),"25%",""))))))</f>
        <v>40%</v>
      </c>
      <c r="Y61" s="248" t="s">
        <v>17</v>
      </c>
      <c r="Z61" s="248" t="s">
        <v>20</v>
      </c>
      <c r="AA61" s="248" t="s">
        <v>105</v>
      </c>
      <c r="AB61" s="269"/>
      <c r="AC61" s="364" t="s">
        <v>659</v>
      </c>
      <c r="AD61" s="141">
        <v>1</v>
      </c>
      <c r="AE61" s="143" t="str">
        <f>IFERROR(IF(AD80="","",IF(AD80&lt;=0.2,"Muy Baja",IF(AD80&lt;=0.4,"Baja",IF(AD80&lt;=0.6,"Media",IF(AD80&lt;=0.8,"Alta","Muy Alta"))))),"")</f>
        <v>Media</v>
      </c>
      <c r="AF61" s="139">
        <v>0.8</v>
      </c>
      <c r="AG61" s="143" t="str">
        <f t="shared" si="21"/>
        <v>Moderado</v>
      </c>
      <c r="AH61" s="139">
        <v>0.6</v>
      </c>
      <c r="AI61" s="213" t="s">
        <v>68</v>
      </c>
      <c r="AJ61" s="351" t="str">
        <f>+AI84</f>
        <v>Moderado</v>
      </c>
      <c r="AK61" s="248" t="s">
        <v>119</v>
      </c>
      <c r="AL61" s="234"/>
      <c r="AM61" s="234"/>
      <c r="AN61" s="234"/>
      <c r="AO61" s="234"/>
      <c r="AP61" s="234"/>
      <c r="AQ61" s="234"/>
      <c r="AR61" s="234"/>
      <c r="AS61" s="234"/>
      <c r="AT61" s="234"/>
      <c r="AU61" s="234"/>
      <c r="AV61" s="234"/>
      <c r="AW61" s="234"/>
      <c r="AX61" s="234"/>
      <c r="AY61" s="234"/>
      <c r="AZ61" s="234"/>
      <c r="BA61" s="234"/>
      <c r="BB61" s="234"/>
      <c r="BC61" s="234"/>
      <c r="BD61" s="234"/>
      <c r="BE61" s="234"/>
      <c r="BF61" s="234"/>
      <c r="BG61" s="234"/>
      <c r="BH61" s="234"/>
      <c r="BI61" s="234"/>
      <c r="BJ61" s="234"/>
      <c r="BK61" s="234"/>
      <c r="BL61" s="234"/>
      <c r="BM61" s="234"/>
      <c r="BN61" s="234"/>
      <c r="BO61" s="234"/>
      <c r="BP61" s="234"/>
      <c r="BQ61" s="234"/>
      <c r="BR61" s="234"/>
      <c r="BS61" s="234"/>
      <c r="BT61" s="234"/>
      <c r="BU61" s="234"/>
      <c r="BV61" s="234"/>
      <c r="BW61" s="234"/>
      <c r="BX61" s="234"/>
      <c r="BY61" s="234"/>
      <c r="BZ61" s="234"/>
      <c r="CA61" s="234"/>
      <c r="CB61" s="234"/>
    </row>
    <row r="62" spans="1:80" s="134" customFormat="1" ht="99" customHeight="1" x14ac:dyDescent="0.2">
      <c r="A62" s="685"/>
      <c r="B62" s="781"/>
      <c r="C62" s="784"/>
      <c r="D62" s="790"/>
      <c r="E62" s="693">
        <v>25</v>
      </c>
      <c r="F62" s="670" t="s">
        <v>838</v>
      </c>
      <c r="G62" s="575" t="s">
        <v>639</v>
      </c>
      <c r="H62" s="575" t="s">
        <v>640</v>
      </c>
      <c r="I62" s="653" t="s">
        <v>213</v>
      </c>
      <c r="J62" s="592" t="s">
        <v>227</v>
      </c>
      <c r="K62" s="594" t="s">
        <v>199</v>
      </c>
      <c r="L62" s="575">
        <v>17865</v>
      </c>
      <c r="M62" s="565" t="str">
        <f>IF(L62&lt;=0,"",IF(L62&lt;=2,"Muy Baja",IF(L62&lt;=24,"Baja",IF(L62&lt;=500,"Media",IF(L62&lt;=5000,"Alta","Muy Alta")))))</f>
        <v>Muy Alta</v>
      </c>
      <c r="N62" s="567">
        <f>IF(M62="","",IF(M62="Muy Baja",0.2,IF(M62="Baja",0.4,IF(M62="Media",0.6,IF(M62="Alta",0.8,IF(M62="Muy Alta",1,))))))</f>
        <v>1</v>
      </c>
      <c r="O62" s="707" t="s">
        <v>104</v>
      </c>
      <c r="P62" s="565" t="s">
        <v>5</v>
      </c>
      <c r="Q62" s="567">
        <v>0.8</v>
      </c>
      <c r="R62" s="562" t="s">
        <v>68</v>
      </c>
      <c r="S62" s="144">
        <v>1</v>
      </c>
      <c r="T62" s="267" t="s">
        <v>638</v>
      </c>
      <c r="U62" s="140" t="s">
        <v>2</v>
      </c>
      <c r="V62" s="248" t="s">
        <v>411</v>
      </c>
      <c r="W62" s="248" t="s">
        <v>7</v>
      </c>
      <c r="X62" s="139" t="str">
        <f>IF(AND(V59="Preventivo",W58="Automático"),"50%",IF(AND(V59="Preventivo",W58="Manual"),"40%",IF(AND(V59="Detectivo",W58="Automático"),"40%",IF(AND(V59="Detectivo",W58="Manual"),"30%",IF(AND(V59="Correctivo",W58="Automático"),"35%",IF(AND(V59="Correctivo",W58="Manual"),"25%",""))))))</f>
        <v>40%</v>
      </c>
      <c r="Y62" s="248" t="s">
        <v>17</v>
      </c>
      <c r="Z62" s="248" t="s">
        <v>20</v>
      </c>
      <c r="AA62" s="248" t="s">
        <v>105</v>
      </c>
      <c r="AB62" s="364"/>
      <c r="AC62" s="364" t="s">
        <v>628</v>
      </c>
      <c r="AD62" s="141">
        <v>1</v>
      </c>
      <c r="AE62" s="143" t="str">
        <f>IFERROR(IF(AD81="","",IF(AD81&lt;=0.2,"Muy Baja",IF(AD81&lt;=0.4,"Baja",IF(AD81&lt;=0.6,"Media",IF(AD81&lt;=0.8,"Alta","Muy Alta"))))),"")</f>
        <v>Media</v>
      </c>
      <c r="AF62" s="139">
        <v>0.6</v>
      </c>
      <c r="AG62" s="143" t="str">
        <f t="shared" si="21"/>
        <v>Moderado</v>
      </c>
      <c r="AH62" s="139">
        <v>0.6</v>
      </c>
      <c r="AI62" s="213" t="s">
        <v>68</v>
      </c>
      <c r="AJ62" s="351" t="str">
        <f>+AI86</f>
        <v>Moderado</v>
      </c>
      <c r="AK62" s="248" t="s">
        <v>119</v>
      </c>
      <c r="AL62" s="234"/>
      <c r="AM62" s="234"/>
      <c r="AN62" s="234"/>
      <c r="AO62" s="234"/>
      <c r="AP62" s="234"/>
      <c r="AQ62" s="234"/>
      <c r="AR62" s="234"/>
      <c r="AS62" s="234"/>
      <c r="AT62" s="234"/>
      <c r="AU62" s="234"/>
      <c r="AV62" s="234"/>
      <c r="AW62" s="234"/>
      <c r="AX62" s="234"/>
      <c r="AY62" s="234"/>
      <c r="AZ62" s="234"/>
      <c r="BA62" s="234"/>
      <c r="BB62" s="234"/>
      <c r="BC62" s="234"/>
      <c r="BD62" s="234"/>
      <c r="BE62" s="234"/>
      <c r="BF62" s="234"/>
      <c r="BG62" s="234"/>
      <c r="BH62" s="234"/>
      <c r="BI62" s="234"/>
      <c r="BJ62" s="234"/>
      <c r="BK62" s="234"/>
      <c r="BL62" s="234"/>
      <c r="BM62" s="234"/>
      <c r="BN62" s="234"/>
      <c r="BO62" s="234"/>
      <c r="BP62" s="234"/>
      <c r="BQ62" s="234"/>
      <c r="BR62" s="234"/>
      <c r="BS62" s="234"/>
      <c r="BT62" s="234"/>
      <c r="BU62" s="234"/>
      <c r="BV62" s="234"/>
      <c r="BW62" s="234"/>
      <c r="BX62" s="234"/>
      <c r="BY62" s="234"/>
      <c r="BZ62" s="234"/>
      <c r="CA62" s="234"/>
      <c r="CB62" s="234"/>
    </row>
    <row r="63" spans="1:80" s="134" customFormat="1" ht="81.75" customHeight="1" x14ac:dyDescent="0.2">
      <c r="A63" s="685"/>
      <c r="B63" s="782"/>
      <c r="C63" s="785"/>
      <c r="D63" s="791"/>
      <c r="E63" s="695"/>
      <c r="F63" s="672"/>
      <c r="G63" s="576"/>
      <c r="H63" s="576"/>
      <c r="I63" s="654"/>
      <c r="J63" s="655"/>
      <c r="K63" s="595"/>
      <c r="L63" s="576"/>
      <c r="M63" s="566"/>
      <c r="N63" s="568"/>
      <c r="O63" s="708"/>
      <c r="P63" s="566"/>
      <c r="Q63" s="568"/>
      <c r="R63" s="564"/>
      <c r="S63" s="144">
        <v>2</v>
      </c>
      <c r="T63" s="267" t="s">
        <v>476</v>
      </c>
      <c r="U63" s="140" t="s">
        <v>2</v>
      </c>
      <c r="V63" s="248" t="s">
        <v>411</v>
      </c>
      <c r="W63" s="248" t="s">
        <v>7</v>
      </c>
      <c r="X63" s="139" t="str">
        <f>IF(AND(V59="Preventivo",W58="Automático"),"50%",IF(AND(V59="Preventivo",W58="Manual"),"40%",IF(AND(V59="Detectivo",W58="Automático"),"40%",IF(AND(V59="Detectivo",W58="Manual"),"30%",IF(AND(V59="Correctivo",W58="Automático"),"35%",IF(AND(V59="Correctivo",W58="Manual"),"25%",""))))))</f>
        <v>40%</v>
      </c>
      <c r="Y63" s="248" t="s">
        <v>17</v>
      </c>
      <c r="Z63" s="248" t="s">
        <v>20</v>
      </c>
      <c r="AA63" s="248" t="s">
        <v>105</v>
      </c>
      <c r="AB63" s="246"/>
      <c r="AC63" s="364" t="s">
        <v>629</v>
      </c>
      <c r="AD63" s="141">
        <v>1</v>
      </c>
      <c r="AE63" s="143" t="str">
        <f>IFERROR(IF(AD81="","",IF(AD81&lt;=0.2,"Muy Baja",IF(AD81&lt;=0.4,"Baja",IF(AD81&lt;=0.6,"Media",IF(AD81&lt;=0.8,"Alta","Muy Alta"))))),"")</f>
        <v>Media</v>
      </c>
      <c r="AF63" s="139">
        <v>0.6</v>
      </c>
      <c r="AG63" s="143" t="str">
        <f t="shared" si="21"/>
        <v>Moderado</v>
      </c>
      <c r="AH63" s="139">
        <v>0.6</v>
      </c>
      <c r="AI63" s="213" t="s">
        <v>68</v>
      </c>
      <c r="AJ63" s="351" t="str">
        <f>+AI86</f>
        <v>Moderado</v>
      </c>
      <c r="AK63" s="248" t="s">
        <v>119</v>
      </c>
      <c r="AL63" s="234"/>
      <c r="AM63" s="234"/>
      <c r="AN63" s="234"/>
      <c r="AO63" s="234"/>
      <c r="AP63" s="234"/>
      <c r="AQ63" s="234"/>
      <c r="AR63" s="234"/>
      <c r="AS63" s="234"/>
      <c r="AT63" s="234"/>
      <c r="AU63" s="234"/>
      <c r="AV63" s="234"/>
      <c r="AW63" s="234"/>
      <c r="AX63" s="234"/>
      <c r="AY63" s="234"/>
      <c r="AZ63" s="234"/>
      <c r="BA63" s="234"/>
      <c r="BB63" s="234"/>
      <c r="BC63" s="234"/>
      <c r="BD63" s="234"/>
      <c r="BE63" s="234"/>
      <c r="BF63" s="234"/>
      <c r="BG63" s="234"/>
      <c r="BH63" s="234"/>
      <c r="BI63" s="234"/>
      <c r="BJ63" s="234"/>
      <c r="BK63" s="234"/>
      <c r="BL63" s="234"/>
      <c r="BM63" s="234"/>
      <c r="BN63" s="234"/>
      <c r="BO63" s="234"/>
      <c r="BP63" s="234"/>
      <c r="BQ63" s="234"/>
      <c r="BR63" s="234"/>
      <c r="BS63" s="234"/>
      <c r="BT63" s="234"/>
      <c r="BU63" s="234"/>
      <c r="BV63" s="234"/>
      <c r="BW63" s="234"/>
      <c r="BX63" s="234"/>
      <c r="BY63" s="234"/>
      <c r="BZ63" s="234"/>
      <c r="CA63" s="234"/>
      <c r="CB63" s="234"/>
    </row>
    <row r="64" spans="1:80" s="134" customFormat="1" ht="81.75" customHeight="1" x14ac:dyDescent="0.2">
      <c r="A64" s="685"/>
      <c r="B64" s="780">
        <v>7</v>
      </c>
      <c r="C64" s="783" t="s">
        <v>528</v>
      </c>
      <c r="D64" s="835" t="s">
        <v>270</v>
      </c>
      <c r="E64" s="693">
        <v>26</v>
      </c>
      <c r="F64" s="670" t="s">
        <v>839</v>
      </c>
      <c r="G64" s="575" t="s">
        <v>475</v>
      </c>
      <c r="H64" s="575" t="s">
        <v>255</v>
      </c>
      <c r="I64" s="653" t="s">
        <v>213</v>
      </c>
      <c r="J64" s="592" t="s">
        <v>232</v>
      </c>
      <c r="K64" s="594" t="s">
        <v>199</v>
      </c>
      <c r="L64" s="575">
        <v>12030</v>
      </c>
      <c r="M64" s="565" t="str">
        <f>IF(L64&lt;=0,"",IF(L64&lt;=2,"Muy Baja",IF(L64&lt;=24,"Baja",IF(L64&lt;=500,"Media",IF(L64&lt;=5000,"Alta","Muy Alta")))))</f>
        <v>Muy Alta</v>
      </c>
      <c r="N64" s="567">
        <f>IF(M64="","",IF(M64="Muy Baja",0.2,IF(M64="Baja",0.4,IF(M64="Media",0.6,IF(M64="Alta",0.8,IF(M64="Muy Alta",1,))))))</f>
        <v>1</v>
      </c>
      <c r="O64" s="707" t="s">
        <v>104</v>
      </c>
      <c r="P64" s="565" t="s">
        <v>5</v>
      </c>
      <c r="Q64" s="567">
        <v>0.8</v>
      </c>
      <c r="R64" s="562" t="s">
        <v>68</v>
      </c>
      <c r="S64" s="144">
        <v>1</v>
      </c>
      <c r="T64" s="267" t="s">
        <v>684</v>
      </c>
      <c r="U64" s="140" t="s">
        <v>1</v>
      </c>
      <c r="V64" s="248" t="s">
        <v>411</v>
      </c>
      <c r="W64" s="248" t="s">
        <v>7</v>
      </c>
      <c r="X64" s="139" t="str">
        <f>IF(AND(V60="Preventivo",W59="Automático"),"50%",IF(AND(V60="Preventivo",W59="Manual"),"40%",IF(AND(V60="Detectivo",W59="Automático"),"40%",IF(AND(V60="Detectivo",W59="Manual"),"30%",IF(AND(V60="Correctivo",W59="Automático"),"35%",IF(AND(V60="Correctivo",W59="Manual"),"25%",""))))))</f>
        <v>40%</v>
      </c>
      <c r="Y64" s="248" t="s">
        <v>17</v>
      </c>
      <c r="Z64" s="248" t="s">
        <v>20</v>
      </c>
      <c r="AA64" s="248" t="s">
        <v>105</v>
      </c>
      <c r="AB64" s="246"/>
      <c r="AC64" s="364" t="s">
        <v>508</v>
      </c>
      <c r="AD64" s="141">
        <v>1</v>
      </c>
      <c r="AE64" s="143" t="str">
        <f>IFERROR(IF(AD82="","",IF(AD82&lt;=0.2,"Muy Baja",IF(AD82&lt;=0.4,"Baja",IF(AD82&lt;=0.6,"Media",IF(AD82&lt;=0.8,"Alta","Muy Alta"))))),"")</f>
        <v>Media</v>
      </c>
      <c r="AF64" s="139">
        <v>0.6</v>
      </c>
      <c r="AG64" s="143" t="str">
        <f t="shared" si="21"/>
        <v>Moderado</v>
      </c>
      <c r="AH64" s="139">
        <v>0.6</v>
      </c>
      <c r="AI64" s="213" t="s">
        <v>68</v>
      </c>
      <c r="AJ64" s="351" t="str">
        <f>+AI87</f>
        <v>Moderado</v>
      </c>
      <c r="AK64" s="248" t="s">
        <v>119</v>
      </c>
      <c r="AL64" s="234"/>
      <c r="AM64" s="234"/>
      <c r="AN64" s="234"/>
      <c r="AO64" s="234"/>
      <c r="AP64" s="234"/>
      <c r="AQ64" s="234"/>
      <c r="AR64" s="234"/>
      <c r="AS64" s="234"/>
      <c r="AT64" s="234"/>
      <c r="AU64" s="234"/>
      <c r="AV64" s="234"/>
      <c r="AW64" s="234"/>
      <c r="AX64" s="234"/>
      <c r="AY64" s="234"/>
      <c r="AZ64" s="234"/>
      <c r="BA64" s="234"/>
      <c r="BB64" s="234"/>
      <c r="BC64" s="234"/>
      <c r="BD64" s="234"/>
      <c r="BE64" s="234"/>
      <c r="BF64" s="234"/>
      <c r="BG64" s="234"/>
      <c r="BH64" s="234"/>
      <c r="BI64" s="234"/>
      <c r="BJ64" s="234"/>
      <c r="BK64" s="234"/>
      <c r="BL64" s="234"/>
      <c r="BM64" s="234"/>
      <c r="BN64" s="234"/>
      <c r="BO64" s="234"/>
      <c r="BP64" s="234"/>
      <c r="BQ64" s="234"/>
      <c r="BR64" s="234"/>
      <c r="BS64" s="234"/>
      <c r="BT64" s="234"/>
      <c r="BU64" s="234"/>
      <c r="BV64" s="234"/>
      <c r="BW64" s="234"/>
      <c r="BX64" s="234"/>
      <c r="BY64" s="234"/>
      <c r="BZ64" s="234"/>
      <c r="CA64" s="234"/>
      <c r="CB64" s="234"/>
    </row>
    <row r="65" spans="1:81" s="134" customFormat="1" ht="127.5" customHeight="1" x14ac:dyDescent="0.2">
      <c r="A65" s="685"/>
      <c r="B65" s="781"/>
      <c r="C65" s="784"/>
      <c r="D65" s="836"/>
      <c r="E65" s="694"/>
      <c r="F65" s="671"/>
      <c r="G65" s="742"/>
      <c r="H65" s="742"/>
      <c r="I65" s="661"/>
      <c r="J65" s="647"/>
      <c r="K65" s="609"/>
      <c r="L65" s="742"/>
      <c r="M65" s="572"/>
      <c r="N65" s="571"/>
      <c r="O65" s="743"/>
      <c r="P65" s="572"/>
      <c r="Q65" s="571"/>
      <c r="R65" s="563"/>
      <c r="S65" s="144">
        <v>2</v>
      </c>
      <c r="T65" s="267" t="s">
        <v>941</v>
      </c>
      <c r="U65" s="140" t="s">
        <v>2</v>
      </c>
      <c r="V65" s="248" t="s">
        <v>411</v>
      </c>
      <c r="W65" s="248" t="s">
        <v>7</v>
      </c>
      <c r="X65" s="139" t="str">
        <f>IF(AND(V60="Preventivo",W59="Automático"),"50%",IF(AND(V60="Preventivo",W59="Manual"),"40%",IF(AND(V60="Detectivo",W59="Automático"),"40%",IF(AND(V60="Detectivo",W59="Manual"),"30%",IF(AND(V60="Correctivo",W59="Automático"),"35%",IF(AND(V60="Correctivo",W59="Manual"),"25%",""))))))</f>
        <v>40%</v>
      </c>
      <c r="Y65" s="248" t="s">
        <v>17</v>
      </c>
      <c r="Z65" s="248" t="s">
        <v>20</v>
      </c>
      <c r="AA65" s="248" t="s">
        <v>105</v>
      </c>
      <c r="AB65" s="246"/>
      <c r="AC65" s="364" t="s">
        <v>509</v>
      </c>
      <c r="AD65" s="141">
        <v>1</v>
      </c>
      <c r="AE65" s="143" t="str">
        <f>IFERROR(IF(AD82="","",IF(AD82&lt;=0.2,"Muy Baja",IF(AD82&lt;=0.4,"Baja",IF(AD82&lt;=0.6,"Media",IF(AD82&lt;=0.8,"Alta","Muy Alta"))))),"")</f>
        <v>Media</v>
      </c>
      <c r="AF65" s="139">
        <v>0.6</v>
      </c>
      <c r="AG65" s="143" t="str">
        <f t="shared" si="21"/>
        <v>Moderado</v>
      </c>
      <c r="AH65" s="139">
        <v>0.6</v>
      </c>
      <c r="AI65" s="213" t="s">
        <v>68</v>
      </c>
      <c r="AJ65" s="351" t="str">
        <f>+AI87</f>
        <v>Moderado</v>
      </c>
      <c r="AK65" s="248" t="s">
        <v>119</v>
      </c>
      <c r="AL65" s="234"/>
      <c r="AM65" s="234"/>
      <c r="AN65" s="234"/>
      <c r="AO65" s="234"/>
      <c r="AP65" s="234"/>
      <c r="AQ65" s="234"/>
      <c r="AR65" s="234"/>
      <c r="AS65" s="234"/>
      <c r="AT65" s="234"/>
      <c r="AU65" s="234"/>
      <c r="AV65" s="234"/>
      <c r="AW65" s="234"/>
      <c r="AX65" s="234"/>
      <c r="AY65" s="234"/>
      <c r="AZ65" s="234"/>
      <c r="BA65" s="234"/>
      <c r="BB65" s="234"/>
      <c r="BC65" s="234"/>
      <c r="BD65" s="234"/>
      <c r="BE65" s="234"/>
      <c r="BF65" s="234"/>
      <c r="BG65" s="234"/>
      <c r="BH65" s="234"/>
      <c r="BI65" s="234"/>
      <c r="BJ65" s="234"/>
      <c r="BK65" s="234"/>
      <c r="BL65" s="234"/>
      <c r="BM65" s="234"/>
      <c r="BN65" s="234"/>
      <c r="BO65" s="234"/>
      <c r="BP65" s="234"/>
      <c r="BQ65" s="234"/>
      <c r="BR65" s="234"/>
      <c r="BS65" s="234"/>
      <c r="BT65" s="234"/>
      <c r="BU65" s="234"/>
      <c r="BV65" s="234"/>
      <c r="BW65" s="234"/>
      <c r="BX65" s="234"/>
      <c r="BY65" s="234"/>
      <c r="BZ65" s="234"/>
      <c r="CA65" s="234"/>
      <c r="CB65" s="234"/>
    </row>
    <row r="66" spans="1:81" s="134" customFormat="1" ht="157.5" customHeight="1" x14ac:dyDescent="0.2">
      <c r="A66" s="685"/>
      <c r="B66" s="781"/>
      <c r="C66" s="784"/>
      <c r="D66" s="836"/>
      <c r="E66" s="694"/>
      <c r="F66" s="671"/>
      <c r="G66" s="742"/>
      <c r="H66" s="742"/>
      <c r="I66" s="661"/>
      <c r="J66" s="647"/>
      <c r="K66" s="609"/>
      <c r="L66" s="742"/>
      <c r="M66" s="572"/>
      <c r="N66" s="571"/>
      <c r="O66" s="743"/>
      <c r="P66" s="572"/>
      <c r="Q66" s="571"/>
      <c r="R66" s="563"/>
      <c r="S66" s="267">
        <v>3</v>
      </c>
      <c r="T66" s="378" t="s">
        <v>685</v>
      </c>
      <c r="U66" s="140" t="s">
        <v>2</v>
      </c>
      <c r="V66" s="248" t="s">
        <v>411</v>
      </c>
      <c r="W66" s="248" t="s">
        <v>7</v>
      </c>
      <c r="X66" s="139" t="str">
        <f>IF(AND(V60="Preventivo",W59="Automático"),"50%",IF(AND(V60="Preventivo",W59="Manual"),"40%",IF(AND(V60="Detectivo",W59="Automático"),"40%",IF(AND(V60="Detectivo",W59="Manual"),"30%",IF(AND(V60="Correctivo",W59="Automático"),"35%",IF(AND(V60="Correctivo",W59="Manual"),"25%",""))))))</f>
        <v>40%</v>
      </c>
      <c r="Y66" s="248" t="s">
        <v>17</v>
      </c>
      <c r="Z66" s="248" t="s">
        <v>20</v>
      </c>
      <c r="AA66" s="248" t="s">
        <v>105</v>
      </c>
      <c r="AB66" s="246"/>
      <c r="AC66" s="174" t="s">
        <v>510</v>
      </c>
      <c r="AD66" s="141">
        <v>1</v>
      </c>
      <c r="AE66" s="143" t="str">
        <f>IFERROR(IF(AD82="","",IF(AD82&lt;=0.2,"Muy Baja",IF(AD82&lt;=0.4,"Baja",IF(AD82&lt;=0.6,"Media",IF(AD82&lt;=0.8,"Alta","Muy Alta"))))),"")</f>
        <v>Media</v>
      </c>
      <c r="AF66" s="139">
        <v>0.6</v>
      </c>
      <c r="AG66" s="143" t="str">
        <f t="shared" si="21"/>
        <v>Moderado</v>
      </c>
      <c r="AH66" s="139">
        <v>0.6</v>
      </c>
      <c r="AI66" s="213" t="s">
        <v>68</v>
      </c>
      <c r="AJ66" s="351" t="str">
        <f>+AI87</f>
        <v>Moderado</v>
      </c>
      <c r="AK66" s="248" t="s">
        <v>119</v>
      </c>
      <c r="AL66" s="234"/>
      <c r="AM66" s="234"/>
      <c r="AN66" s="234"/>
      <c r="AO66" s="234"/>
      <c r="AP66" s="234"/>
      <c r="AQ66" s="234"/>
      <c r="AR66" s="234"/>
      <c r="AS66" s="234"/>
      <c r="AT66" s="234"/>
      <c r="AU66" s="234"/>
      <c r="AV66" s="234"/>
      <c r="AW66" s="234"/>
      <c r="AX66" s="234"/>
      <c r="AY66" s="234"/>
      <c r="AZ66" s="234"/>
      <c r="BA66" s="234"/>
      <c r="BB66" s="234"/>
      <c r="BC66" s="234"/>
      <c r="BD66" s="234"/>
      <c r="BE66" s="234"/>
      <c r="BF66" s="234"/>
      <c r="BG66" s="234"/>
      <c r="BH66" s="234"/>
      <c r="BI66" s="234"/>
      <c r="BJ66" s="234"/>
      <c r="BK66" s="234"/>
      <c r="BL66" s="234"/>
      <c r="BM66" s="234"/>
      <c r="BN66" s="234"/>
      <c r="BO66" s="234"/>
      <c r="BP66" s="234"/>
      <c r="BQ66" s="234"/>
      <c r="BR66" s="234"/>
      <c r="BS66" s="234"/>
      <c r="BT66" s="234"/>
      <c r="BU66" s="234"/>
      <c r="BV66" s="234"/>
      <c r="BW66" s="234"/>
      <c r="BX66" s="234"/>
      <c r="BY66" s="234"/>
      <c r="BZ66" s="234"/>
      <c r="CA66" s="234"/>
      <c r="CB66" s="234"/>
    </row>
    <row r="67" spans="1:81" s="134" customFormat="1" ht="152.25" customHeight="1" x14ac:dyDescent="0.2">
      <c r="A67" s="685"/>
      <c r="B67" s="781"/>
      <c r="C67" s="784"/>
      <c r="D67" s="836"/>
      <c r="E67" s="695"/>
      <c r="F67" s="672"/>
      <c r="G67" s="576"/>
      <c r="H67" s="576"/>
      <c r="I67" s="654"/>
      <c r="J67" s="655"/>
      <c r="K67" s="595"/>
      <c r="L67" s="576"/>
      <c r="M67" s="566"/>
      <c r="N67" s="568"/>
      <c r="O67" s="708"/>
      <c r="P67" s="566"/>
      <c r="Q67" s="568"/>
      <c r="R67" s="564"/>
      <c r="S67" s="267">
        <v>4</v>
      </c>
      <c r="T67" s="378" t="s">
        <v>942</v>
      </c>
      <c r="U67" s="140" t="s">
        <v>2</v>
      </c>
      <c r="V67" s="248" t="s">
        <v>411</v>
      </c>
      <c r="W67" s="248" t="s">
        <v>7</v>
      </c>
      <c r="X67" s="139" t="str">
        <f>IF(AND(V61="Preventivo",W60="Automático"),"50%",IF(AND(V61="Preventivo",W60="Manual"),"40%",IF(AND(V61="Detectivo",W60="Automático"),"40%",IF(AND(V61="Detectivo",W60="Manual"),"30%",IF(AND(V61="Correctivo",W60="Automático"),"35%",IF(AND(V61="Correctivo",W60="Manual"),"25%",""))))))</f>
        <v>40%</v>
      </c>
      <c r="Y67" s="248" t="s">
        <v>17</v>
      </c>
      <c r="Z67" s="248" t="s">
        <v>20</v>
      </c>
      <c r="AA67" s="248" t="s">
        <v>105</v>
      </c>
      <c r="AB67" s="246"/>
      <c r="AC67" s="174" t="s">
        <v>511</v>
      </c>
      <c r="AD67" s="141">
        <v>1</v>
      </c>
      <c r="AE67" s="143" t="str">
        <f>IFERROR(IF(AD83="","",IF(AD83&lt;=0.2,"Muy Baja",IF(AD83&lt;=0.4,"Baja",IF(AD83&lt;=0.6,"Media",IF(AD83&lt;=0.8,"Alta","Muy Alta"))))),"")</f>
        <v>Media</v>
      </c>
      <c r="AF67" s="139">
        <v>0.6</v>
      </c>
      <c r="AG67" s="143" t="str">
        <f t="shared" si="21"/>
        <v>Moderado</v>
      </c>
      <c r="AH67" s="139">
        <v>0.6</v>
      </c>
      <c r="AI67" s="213" t="s">
        <v>68</v>
      </c>
      <c r="AJ67" s="351" t="str">
        <f>+AI88</f>
        <v>Moderado</v>
      </c>
      <c r="AK67" s="248" t="s">
        <v>119</v>
      </c>
      <c r="AL67" s="234"/>
      <c r="AM67" s="234"/>
      <c r="AN67" s="234"/>
      <c r="AO67" s="234"/>
      <c r="AP67" s="234"/>
      <c r="AQ67" s="234"/>
      <c r="AR67" s="234"/>
      <c r="AS67" s="234"/>
      <c r="AT67" s="234"/>
      <c r="AU67" s="234"/>
      <c r="AV67" s="234"/>
      <c r="AW67" s="234"/>
      <c r="AX67" s="234"/>
      <c r="AY67" s="234"/>
      <c r="AZ67" s="234"/>
      <c r="BA67" s="234"/>
      <c r="BB67" s="234"/>
      <c r="BC67" s="234"/>
      <c r="BD67" s="234"/>
      <c r="BE67" s="234"/>
      <c r="BF67" s="234"/>
      <c r="BG67" s="234"/>
      <c r="BH67" s="234"/>
      <c r="BI67" s="234"/>
      <c r="BJ67" s="234"/>
      <c r="BK67" s="234"/>
      <c r="BL67" s="234"/>
      <c r="BM67" s="234"/>
      <c r="BN67" s="234"/>
      <c r="BO67" s="234"/>
      <c r="BP67" s="234"/>
      <c r="BQ67" s="234"/>
      <c r="BR67" s="234"/>
      <c r="BS67" s="234"/>
      <c r="BT67" s="234"/>
      <c r="BU67" s="234"/>
      <c r="BV67" s="234"/>
      <c r="BW67" s="234"/>
      <c r="BX67" s="234"/>
      <c r="BY67" s="234"/>
      <c r="BZ67" s="234"/>
      <c r="CA67" s="234"/>
      <c r="CB67" s="234"/>
    </row>
    <row r="68" spans="1:81" s="134" customFormat="1" ht="128.25" customHeight="1" x14ac:dyDescent="0.2">
      <c r="A68" s="685"/>
      <c r="B68" s="782"/>
      <c r="C68" s="785"/>
      <c r="D68" s="837"/>
      <c r="E68" s="363">
        <v>27</v>
      </c>
      <c r="F68" s="267" t="s">
        <v>428</v>
      </c>
      <c r="G68" s="263" t="s">
        <v>271</v>
      </c>
      <c r="H68" s="263" t="s">
        <v>272</v>
      </c>
      <c r="I68" s="263" t="s">
        <v>213</v>
      </c>
      <c r="J68" s="364" t="s">
        <v>232</v>
      </c>
      <c r="K68" s="219" t="s">
        <v>199</v>
      </c>
      <c r="L68" s="146">
        <v>12030</v>
      </c>
      <c r="M68" s="217" t="str">
        <f>IF(L68&lt;=0,"",IF(L68&lt;=2,"Muy Baja",IF(L68&lt;=24,"Baja",IF(L68&lt;=500,"Media",IF(L68&lt;=5000,"Alta","Muy Alta")))))</f>
        <v>Muy Alta</v>
      </c>
      <c r="N68" s="214">
        <f>IF(M68="","",IF(M68="Muy Baja",0.2,IF(M68="Baja",0.4,IF(M68="Media",0.6,IF(M68="Alta",0.8,IF(M68="Muy Alta",1,))))))</f>
        <v>1</v>
      </c>
      <c r="O68" s="376" t="s">
        <v>104</v>
      </c>
      <c r="P68" s="217" t="s">
        <v>5</v>
      </c>
      <c r="Q68" s="214">
        <v>0.8</v>
      </c>
      <c r="R68" s="215" t="s">
        <v>68</v>
      </c>
      <c r="S68" s="144">
        <v>1</v>
      </c>
      <c r="T68" s="375" t="s">
        <v>429</v>
      </c>
      <c r="U68" s="140" t="s">
        <v>2</v>
      </c>
      <c r="V68" s="248" t="s">
        <v>12</v>
      </c>
      <c r="W68" s="248" t="s">
        <v>7</v>
      </c>
      <c r="X68" s="139" t="str">
        <f>IF(AND(V61="Preventivo",W61="Automático"),"50%",IF(AND(V61="Preventivo",W61="Manual"),"40%",IF(AND(V61="Detectivo",W61="Automático"),"40%",IF(AND(V61="Detectivo",W61="Manual"),"30%",IF(AND(V61="Correctivo",W61="Automático"),"35%",IF(AND(V61="Correctivo",W61="Manual"),"25%",""))))))</f>
        <v>40%</v>
      </c>
      <c r="Y68" s="248" t="s">
        <v>17</v>
      </c>
      <c r="Z68" s="248" t="s">
        <v>20</v>
      </c>
      <c r="AA68" s="248" t="s">
        <v>105</v>
      </c>
      <c r="AB68" s="246"/>
      <c r="AC68" s="364" t="s">
        <v>346</v>
      </c>
      <c r="AD68" s="141">
        <v>1</v>
      </c>
      <c r="AE68" s="143" t="str">
        <f>IFERROR(IF(AD82="","",IF(AD82&lt;=0.2,"Muy Baja",IF(AD82&lt;=0.4,"Baja",IF(AD82&lt;=0.6,"Media",IF(AD82&lt;=0.8,"Alta","Muy Alta"))))),"")</f>
        <v>Media</v>
      </c>
      <c r="AF68" s="139">
        <v>0.6</v>
      </c>
      <c r="AG68" s="143" t="str">
        <f t="shared" si="21"/>
        <v>Moderado</v>
      </c>
      <c r="AH68" s="139">
        <v>0.6</v>
      </c>
      <c r="AI68" s="213" t="s">
        <v>68</v>
      </c>
      <c r="AJ68" s="351" t="str">
        <f>+AI87</f>
        <v>Moderado</v>
      </c>
      <c r="AK68" s="248" t="s">
        <v>119</v>
      </c>
      <c r="AL68" s="234"/>
      <c r="AM68" s="234"/>
      <c r="AN68" s="234"/>
      <c r="AO68" s="234"/>
      <c r="AP68" s="234"/>
      <c r="AQ68" s="234"/>
      <c r="AR68" s="234"/>
      <c r="AS68" s="234"/>
      <c r="AT68" s="234"/>
      <c r="AU68" s="234"/>
      <c r="AV68" s="234"/>
      <c r="AW68" s="234"/>
      <c r="AX68" s="234"/>
      <c r="AY68" s="234"/>
      <c r="AZ68" s="234"/>
      <c r="BA68" s="234"/>
      <c r="BB68" s="234"/>
      <c r="BC68" s="234"/>
      <c r="BD68" s="234"/>
      <c r="BE68" s="234"/>
      <c r="BF68" s="234"/>
      <c r="BG68" s="234"/>
      <c r="BH68" s="234"/>
      <c r="BI68" s="234"/>
      <c r="BJ68" s="234"/>
      <c r="BK68" s="234"/>
      <c r="BL68" s="234"/>
      <c r="BM68" s="234"/>
      <c r="BN68" s="234"/>
      <c r="BO68" s="234"/>
      <c r="BP68" s="234"/>
      <c r="BQ68" s="234"/>
      <c r="BR68" s="234"/>
      <c r="BS68" s="234"/>
      <c r="BT68" s="234"/>
      <c r="BU68" s="234"/>
      <c r="BV68" s="234"/>
      <c r="BW68" s="234"/>
      <c r="BX68" s="234"/>
      <c r="BY68" s="234"/>
      <c r="BZ68" s="234"/>
      <c r="CA68" s="234"/>
      <c r="CB68" s="234"/>
    </row>
    <row r="69" spans="1:81" s="134" customFormat="1" ht="123.75" customHeight="1" x14ac:dyDescent="0.2">
      <c r="A69" s="685"/>
      <c r="B69" s="793">
        <v>8</v>
      </c>
      <c r="C69" s="783" t="s">
        <v>273</v>
      </c>
      <c r="D69" s="789" t="s">
        <v>203</v>
      </c>
      <c r="E69" s="693">
        <v>28</v>
      </c>
      <c r="F69" s="575" t="s">
        <v>820</v>
      </c>
      <c r="G69" s="653" t="s">
        <v>274</v>
      </c>
      <c r="H69" s="653" t="s">
        <v>275</v>
      </c>
      <c r="I69" s="653" t="s">
        <v>213</v>
      </c>
      <c r="J69" s="592" t="s">
        <v>227</v>
      </c>
      <c r="K69" s="594" t="s">
        <v>199</v>
      </c>
      <c r="L69" s="763">
        <v>1995</v>
      </c>
      <c r="M69" s="565" t="str">
        <f>IF(L69&lt;=0,"",IF(L69&lt;=2,"Muy Baja",IF(L69&lt;=24,"Baja",IF(L69&lt;=500,"Media",IF(L69&lt;=5000,"Alta","Muy Alta")))))</f>
        <v>Alta</v>
      </c>
      <c r="N69" s="567">
        <f>IF(M69="","",IF(M69="Muy Baja",0.2,IF(M69="Baja",0.4,IF(M69="Media",0.6,IF(M69="Alta",0.8,IF(M69="Muy Alta",1,))))))</f>
        <v>0.8</v>
      </c>
      <c r="O69" s="707" t="s">
        <v>85</v>
      </c>
      <c r="P69" s="565" t="s">
        <v>68</v>
      </c>
      <c r="Q69" s="567">
        <v>0.8</v>
      </c>
      <c r="R69" s="562" t="s">
        <v>68</v>
      </c>
      <c r="S69" s="144">
        <v>1</v>
      </c>
      <c r="T69" s="267" t="s">
        <v>821</v>
      </c>
      <c r="U69" s="140" t="s">
        <v>2</v>
      </c>
      <c r="V69" s="248" t="s">
        <v>12</v>
      </c>
      <c r="W69" s="248" t="s">
        <v>7</v>
      </c>
      <c r="X69" s="139" t="str">
        <f>IF(AND(V61="Preventivo",W61="Automático"),"50%",IF(AND(V61="Preventivo",W61="Manual"),"40%",IF(AND(V61="Detectivo",W61="Automático"),"40%",IF(AND(V61="Detectivo",W61="Manual"),"30%",IF(AND(V61="Correctivo",W61="Automático"),"35%",IF(AND(V61="Correctivo",W61="Manual"),"25%",""))))))</f>
        <v>40%</v>
      </c>
      <c r="Y69" s="248" t="s">
        <v>17</v>
      </c>
      <c r="Z69" s="248" t="s">
        <v>20</v>
      </c>
      <c r="AA69" s="248" t="s">
        <v>105</v>
      </c>
      <c r="AB69" s="364"/>
      <c r="AC69" s="364" t="s">
        <v>822</v>
      </c>
      <c r="AD69" s="141">
        <v>0.6</v>
      </c>
      <c r="AE69" s="143" t="str">
        <f>IFERROR(IF(AD83="","",IF(AD83&lt;=0.2,"Muy Baja",IF(AD83&lt;=0.4,"Baja",IF(AD83&lt;=0.6,"Media",IF(AD83&lt;=0.8,"Alta","Muy Alta"))))),"")</f>
        <v>Media</v>
      </c>
      <c r="AF69" s="139">
        <v>0.8</v>
      </c>
      <c r="AG69" s="143" t="str">
        <f t="shared" si="21"/>
        <v>Moderado</v>
      </c>
      <c r="AH69" s="139">
        <v>0.6</v>
      </c>
      <c r="AI69" s="213" t="s">
        <v>68</v>
      </c>
      <c r="AJ69" s="351" t="s">
        <v>68</v>
      </c>
      <c r="AK69" s="248" t="s">
        <v>119</v>
      </c>
      <c r="AL69" s="234"/>
      <c r="AM69" s="234"/>
      <c r="AN69" s="234"/>
      <c r="AO69" s="234"/>
      <c r="AP69" s="234"/>
      <c r="AQ69" s="234"/>
      <c r="AR69" s="234"/>
      <c r="AS69" s="234"/>
      <c r="AT69" s="234"/>
      <c r="AU69" s="234"/>
      <c r="AV69" s="234"/>
      <c r="AW69" s="234"/>
      <c r="AX69" s="234"/>
      <c r="AY69" s="234"/>
      <c r="AZ69" s="234"/>
      <c r="BA69" s="234"/>
      <c r="BB69" s="234"/>
      <c r="BC69" s="234"/>
      <c r="BD69" s="234"/>
      <c r="BE69" s="234"/>
      <c r="BF69" s="234"/>
      <c r="BG69" s="234"/>
      <c r="BH69" s="234"/>
      <c r="BI69" s="234"/>
      <c r="BJ69" s="234"/>
      <c r="BK69" s="234"/>
      <c r="BL69" s="234"/>
      <c r="BM69" s="234"/>
      <c r="BN69" s="234"/>
      <c r="BO69" s="234"/>
      <c r="BP69" s="234"/>
      <c r="BQ69" s="234"/>
      <c r="BR69" s="234"/>
      <c r="BS69" s="234"/>
      <c r="BT69" s="234"/>
      <c r="BU69" s="234"/>
      <c r="BV69" s="234"/>
      <c r="BW69" s="234"/>
      <c r="BX69" s="234"/>
      <c r="BY69" s="234"/>
      <c r="BZ69" s="234"/>
      <c r="CA69" s="234"/>
      <c r="CB69" s="234"/>
    </row>
    <row r="70" spans="1:81" s="134" customFormat="1" ht="121.5" customHeight="1" x14ac:dyDescent="0.2">
      <c r="A70" s="685"/>
      <c r="B70" s="794"/>
      <c r="C70" s="784"/>
      <c r="D70" s="790"/>
      <c r="E70" s="694"/>
      <c r="F70" s="742"/>
      <c r="G70" s="661"/>
      <c r="H70" s="661"/>
      <c r="I70" s="661"/>
      <c r="J70" s="647"/>
      <c r="K70" s="609"/>
      <c r="L70" s="764"/>
      <c r="M70" s="572"/>
      <c r="N70" s="571"/>
      <c r="O70" s="743"/>
      <c r="P70" s="572"/>
      <c r="Q70" s="571"/>
      <c r="R70" s="563"/>
      <c r="S70" s="144">
        <v>2</v>
      </c>
      <c r="T70" s="267" t="s">
        <v>944</v>
      </c>
      <c r="U70" s="140" t="s">
        <v>2</v>
      </c>
      <c r="V70" s="248" t="s">
        <v>12</v>
      </c>
      <c r="W70" s="248" t="s">
        <v>7</v>
      </c>
      <c r="X70" s="139" t="str">
        <f>IF(AND(V63="Preventivo",W63="Automático"),"50%",IF(AND(V63="Preventivo",W63="Manual"),"40%",IF(AND(V63="Detectivo",W63="Automático"),"40%",IF(AND(V63="Detectivo",W63="Manual"),"30%",IF(AND(V63="Correctivo",W63="Automático"),"35%",IF(AND(V63="Correctivo",W63="Manual"),"25%",""))))))</f>
        <v>40%</v>
      </c>
      <c r="Y70" s="248" t="s">
        <v>17</v>
      </c>
      <c r="Z70" s="248" t="s">
        <v>20</v>
      </c>
      <c r="AA70" s="248" t="s">
        <v>105</v>
      </c>
      <c r="AB70" s="364"/>
      <c r="AC70" s="364" t="s">
        <v>823</v>
      </c>
      <c r="AD70" s="141">
        <v>0.6</v>
      </c>
      <c r="AE70" s="143" t="str">
        <f>IFERROR(IF(AD84="","",IF(AD84&lt;=0.2,"Muy Baja",IF(AD84&lt;=0.4,"Baja",IF(AD84&lt;=0.6,"Media",IF(AD84&lt;=0.8,"Alta","Muy Alta"))))),"")</f>
        <v>Media</v>
      </c>
      <c r="AF70" s="139">
        <v>0.8</v>
      </c>
      <c r="AG70" s="143" t="str">
        <f t="shared" si="21"/>
        <v>Moderado</v>
      </c>
      <c r="AH70" s="139">
        <v>0.6</v>
      </c>
      <c r="AI70" s="213" t="s">
        <v>68</v>
      </c>
      <c r="AJ70" s="351" t="s">
        <v>68</v>
      </c>
      <c r="AK70" s="248" t="s">
        <v>119</v>
      </c>
      <c r="AL70" s="234"/>
      <c r="AM70" s="234"/>
      <c r="AN70" s="234"/>
      <c r="AO70" s="234"/>
      <c r="AP70" s="234"/>
      <c r="AQ70" s="234"/>
      <c r="AR70" s="234"/>
      <c r="AS70" s="234"/>
      <c r="AT70" s="234"/>
      <c r="AU70" s="234"/>
      <c r="AV70" s="234"/>
      <c r="AW70" s="234"/>
      <c r="AX70" s="234"/>
      <c r="AY70" s="234"/>
      <c r="AZ70" s="234"/>
      <c r="BA70" s="234"/>
      <c r="BB70" s="234"/>
      <c r="BC70" s="234"/>
      <c r="BD70" s="234"/>
      <c r="BE70" s="234"/>
      <c r="BF70" s="234"/>
      <c r="BG70" s="234"/>
      <c r="BH70" s="234"/>
      <c r="BI70" s="234"/>
      <c r="BJ70" s="234"/>
      <c r="BK70" s="234"/>
      <c r="BL70" s="234"/>
      <c r="BM70" s="234"/>
      <c r="BN70" s="234"/>
      <c r="BO70" s="234"/>
      <c r="BP70" s="234"/>
      <c r="BQ70" s="234"/>
      <c r="BR70" s="234"/>
      <c r="BS70" s="234"/>
      <c r="BT70" s="234"/>
      <c r="BU70" s="234"/>
      <c r="BV70" s="234"/>
      <c r="BW70" s="234"/>
      <c r="BX70" s="234"/>
      <c r="BY70" s="234"/>
      <c r="BZ70" s="234"/>
      <c r="CA70" s="234"/>
      <c r="CB70" s="234"/>
    </row>
    <row r="71" spans="1:81" s="134" customFormat="1" ht="211.5" customHeight="1" x14ac:dyDescent="0.2">
      <c r="A71" s="685"/>
      <c r="B71" s="794"/>
      <c r="C71" s="784"/>
      <c r="D71" s="791"/>
      <c r="E71" s="695"/>
      <c r="F71" s="576"/>
      <c r="G71" s="654"/>
      <c r="H71" s="654"/>
      <c r="I71" s="654"/>
      <c r="J71" s="655"/>
      <c r="K71" s="595"/>
      <c r="L71" s="765"/>
      <c r="M71" s="566"/>
      <c r="N71" s="568"/>
      <c r="O71" s="708"/>
      <c r="P71" s="566"/>
      <c r="Q71" s="568"/>
      <c r="R71" s="564"/>
      <c r="S71" s="144">
        <v>3</v>
      </c>
      <c r="T71" s="267" t="s">
        <v>824</v>
      </c>
      <c r="U71" s="140" t="s">
        <v>2</v>
      </c>
      <c r="V71" s="248" t="s">
        <v>12</v>
      </c>
      <c r="W71" s="248" t="s">
        <v>7</v>
      </c>
      <c r="X71" s="139" t="str">
        <f>IF(AND(V68="Preventivo",W68="Automático"),"50%",IF(AND(V68="Preventivo",W68="Manual"),"40%",IF(AND(V68="Detectivo",W68="Automático"),"40%",IF(AND(V68="Detectivo",W68="Manual"),"30%",IF(AND(V68="Correctivo",W68="Automático"),"35%",IF(AND(V68="Correctivo",W68="Manual"),"25%",""))))))</f>
        <v>40%</v>
      </c>
      <c r="Y71" s="248" t="s">
        <v>17</v>
      </c>
      <c r="Z71" s="248" t="s">
        <v>20</v>
      </c>
      <c r="AA71" s="248" t="s">
        <v>105</v>
      </c>
      <c r="AB71" s="364"/>
      <c r="AC71" s="374" t="s">
        <v>943</v>
      </c>
      <c r="AD71" s="141">
        <v>0.6</v>
      </c>
      <c r="AE71" s="143" t="str">
        <f>IFERROR(IF(AD86="","",IF(AD86&lt;=0.2,"Muy Baja",IF(AD86&lt;=0.4,"Baja",IF(AD86&lt;=0.6,"Media",IF(AD86&lt;=0.8,"Alta","Muy Alta"))))),"")</f>
        <v>Media</v>
      </c>
      <c r="AF71" s="139">
        <v>0.8</v>
      </c>
      <c r="AG71" s="143" t="str">
        <f>IFERROR(IF(AH70="","",IF(AH70&lt;=0.2,"Leve",IF(AH70&lt;=0.4,"Menor",IF(AH70&lt;=0.6,"Moderado",IF(AH70&lt;=0.8,"Mayor","Catastrófico"))))),"")</f>
        <v>Moderado</v>
      </c>
      <c r="AH71" s="139">
        <v>0.6</v>
      </c>
      <c r="AI71" s="213" t="s">
        <v>68</v>
      </c>
      <c r="AJ71" s="351" t="s">
        <v>68</v>
      </c>
      <c r="AK71" s="248" t="s">
        <v>119</v>
      </c>
      <c r="AL71" s="234"/>
      <c r="AM71" s="234"/>
      <c r="AN71" s="234"/>
      <c r="AO71" s="234"/>
      <c r="AP71" s="234"/>
      <c r="AQ71" s="234"/>
      <c r="AR71" s="234"/>
      <c r="AS71" s="234"/>
      <c r="AT71" s="234"/>
      <c r="AU71" s="234"/>
      <c r="AV71" s="234"/>
      <c r="AW71" s="234"/>
      <c r="AX71" s="234"/>
      <c r="AY71" s="234"/>
      <c r="AZ71" s="234"/>
      <c r="BA71" s="234"/>
      <c r="BB71" s="234"/>
      <c r="BC71" s="234"/>
      <c r="BD71" s="234"/>
      <c r="BE71" s="234"/>
      <c r="BF71" s="234"/>
      <c r="BG71" s="234"/>
      <c r="BH71" s="234"/>
      <c r="BI71" s="234"/>
      <c r="BJ71" s="234"/>
      <c r="BK71" s="234"/>
      <c r="BL71" s="234"/>
      <c r="BM71" s="234"/>
      <c r="BN71" s="234"/>
      <c r="BO71" s="234"/>
      <c r="BP71" s="234"/>
      <c r="BQ71" s="234"/>
      <c r="BR71" s="234"/>
      <c r="BS71" s="234"/>
      <c r="BT71" s="234"/>
      <c r="BU71" s="234"/>
      <c r="BV71" s="234"/>
      <c r="BW71" s="234"/>
      <c r="BX71" s="234"/>
      <c r="BY71" s="234"/>
      <c r="BZ71" s="234"/>
      <c r="CA71" s="234"/>
      <c r="CB71" s="234"/>
    </row>
    <row r="72" spans="1:81" s="134" customFormat="1" ht="183" customHeight="1" x14ac:dyDescent="0.2">
      <c r="A72" s="685"/>
      <c r="B72" s="780">
        <v>9</v>
      </c>
      <c r="C72" s="783" t="s">
        <v>276</v>
      </c>
      <c r="D72" s="789" t="s">
        <v>203</v>
      </c>
      <c r="E72" s="363">
        <v>29</v>
      </c>
      <c r="F72" s="267" t="s">
        <v>840</v>
      </c>
      <c r="G72" s="263" t="s">
        <v>277</v>
      </c>
      <c r="H72" s="263" t="s">
        <v>348</v>
      </c>
      <c r="I72" s="263" t="s">
        <v>213</v>
      </c>
      <c r="J72" s="364" t="s">
        <v>223</v>
      </c>
      <c r="K72" s="219" t="s">
        <v>199</v>
      </c>
      <c r="L72" s="146">
        <v>21600</v>
      </c>
      <c r="M72" s="306" t="str">
        <f t="shared" ref="M72:M77" si="22">IF(L72&lt;=0,"",IF(L72&lt;=2,"Muy Baja",IF(L72&lt;=24,"Baja",IF(L72&lt;=500,"Media",IF(L72&lt;=5000,"Alta","Muy Alta")))))</f>
        <v>Muy Alta</v>
      </c>
      <c r="N72" s="214">
        <f t="shared" ref="N72:N77" si="23">IF(M72="","",IF(M72="Muy Baja",0.2,IF(M72="Baja",0.4,IF(M72="Media",0.6,IF(M72="Alta",0.8,IF(M72="Muy Alta",1,))))))</f>
        <v>1</v>
      </c>
      <c r="O72" s="376" t="s">
        <v>104</v>
      </c>
      <c r="P72" s="306" t="s">
        <v>5</v>
      </c>
      <c r="Q72" s="214">
        <v>0.8</v>
      </c>
      <c r="R72" s="304" t="s">
        <v>67</v>
      </c>
      <c r="S72" s="144">
        <v>1</v>
      </c>
      <c r="T72" s="224" t="s">
        <v>360</v>
      </c>
      <c r="U72" s="140" t="s">
        <v>2</v>
      </c>
      <c r="V72" s="248" t="s">
        <v>12</v>
      </c>
      <c r="W72" s="248" t="s">
        <v>7</v>
      </c>
      <c r="X72" s="139" t="str">
        <f>IF(AND(V69="Preventivo",W69="Automático"),"50%",IF(AND(V69="Preventivo",W69="Manual"),"40%",IF(AND(V69="Detectivo",W69="Automático"),"40%",IF(AND(V69="Detectivo",W69="Manual"),"30%",IF(AND(V69="Correctivo",W69="Automático"),"35%",IF(AND(V69="Correctivo",W69="Manual"),"25%",""))))))</f>
        <v>40%</v>
      </c>
      <c r="Y72" s="248" t="s">
        <v>17</v>
      </c>
      <c r="Z72" s="248" t="s">
        <v>20</v>
      </c>
      <c r="AA72" s="248" t="s">
        <v>105</v>
      </c>
      <c r="AB72" s="364"/>
      <c r="AC72" s="364" t="s">
        <v>512</v>
      </c>
      <c r="AD72" s="141">
        <v>0.6</v>
      </c>
      <c r="AE72" s="143" t="str">
        <f>IFERROR(IF(AD88="","",IF(AD88&lt;=0.2,"Muy Baja",IF(AD88&lt;=0.4,"Baja",IF(AD88&lt;=0.6,"Media",IF(AD88&lt;=0.8,"Alta","Muy Alta"))))),"")</f>
        <v>Media</v>
      </c>
      <c r="AF72" s="139">
        <v>0.8</v>
      </c>
      <c r="AG72" s="143" t="str">
        <f>IFERROR(IF(AH71="","",IF(AH71&lt;=0.2,"Leve",IF(AH71&lt;=0.4,"Menor",IF(AH71&lt;=0.6,"Moderado",IF(AH71&lt;=0.8,"Mayor","Catastrófico"))))),"")</f>
        <v>Moderado</v>
      </c>
      <c r="AH72" s="139">
        <v>0.6</v>
      </c>
      <c r="AI72" s="213" t="s">
        <v>68</v>
      </c>
      <c r="AJ72" s="351" t="s">
        <v>68</v>
      </c>
      <c r="AK72" s="248" t="s">
        <v>119</v>
      </c>
      <c r="AL72" s="234"/>
      <c r="AM72" s="234"/>
      <c r="AN72" s="234"/>
      <c r="AO72" s="234"/>
      <c r="AP72" s="234"/>
      <c r="AQ72" s="234"/>
      <c r="AR72" s="234"/>
      <c r="AS72" s="234"/>
      <c r="AT72" s="234"/>
      <c r="AU72" s="234"/>
      <c r="AV72" s="234"/>
      <c r="AW72" s="234"/>
      <c r="AX72" s="234"/>
      <c r="AY72" s="234"/>
      <c r="AZ72" s="234"/>
      <c r="BA72" s="234"/>
      <c r="BB72" s="234"/>
      <c r="BC72" s="234"/>
      <c r="BD72" s="234"/>
      <c r="BE72" s="234"/>
      <c r="BF72" s="234"/>
      <c r="BG72" s="234"/>
      <c r="BH72" s="234"/>
      <c r="BI72" s="234"/>
      <c r="BJ72" s="234"/>
      <c r="BK72" s="234"/>
      <c r="BL72" s="234"/>
      <c r="BM72" s="234"/>
      <c r="BN72" s="234"/>
      <c r="BO72" s="234"/>
      <c r="BP72" s="234"/>
      <c r="BQ72" s="234"/>
      <c r="BR72" s="234"/>
      <c r="BS72" s="234"/>
      <c r="BT72" s="234"/>
      <c r="BU72" s="234"/>
      <c r="BV72" s="234"/>
      <c r="BW72" s="234"/>
      <c r="BX72" s="234"/>
      <c r="BY72" s="234"/>
      <c r="BZ72" s="234"/>
      <c r="CA72" s="234"/>
      <c r="CB72" s="234"/>
    </row>
    <row r="73" spans="1:81" s="134" customFormat="1" ht="211.5" customHeight="1" x14ac:dyDescent="0.2">
      <c r="A73" s="685"/>
      <c r="B73" s="782"/>
      <c r="C73" s="785"/>
      <c r="D73" s="791"/>
      <c r="E73" s="363">
        <v>30</v>
      </c>
      <c r="F73" s="267" t="s">
        <v>841</v>
      </c>
      <c r="G73" s="263" t="s">
        <v>278</v>
      </c>
      <c r="H73" s="263" t="s">
        <v>347</v>
      </c>
      <c r="I73" s="263" t="s">
        <v>213</v>
      </c>
      <c r="J73" s="364" t="s">
        <v>223</v>
      </c>
      <c r="K73" s="219" t="s">
        <v>199</v>
      </c>
      <c r="L73" s="146">
        <v>228</v>
      </c>
      <c r="M73" s="306" t="str">
        <f t="shared" si="22"/>
        <v>Media</v>
      </c>
      <c r="N73" s="214">
        <f t="shared" si="23"/>
        <v>0.6</v>
      </c>
      <c r="O73" s="379" t="s">
        <v>132</v>
      </c>
      <c r="P73" s="306" t="s">
        <v>68</v>
      </c>
      <c r="Q73" s="214">
        <v>0.6</v>
      </c>
      <c r="R73" s="304" t="s">
        <v>68</v>
      </c>
      <c r="S73" s="144">
        <v>1</v>
      </c>
      <c r="T73" s="224" t="s">
        <v>361</v>
      </c>
      <c r="U73" s="140" t="s">
        <v>2</v>
      </c>
      <c r="V73" s="248" t="s">
        <v>12</v>
      </c>
      <c r="W73" s="248" t="s">
        <v>7</v>
      </c>
      <c r="X73" s="139" t="str">
        <f>IF(AND(V70="Preventivo",W70="Automático"),"50%",IF(AND(V70="Preventivo",W70="Manual"),"40%",IF(AND(V70="Detectivo",W70="Automático"),"40%",IF(AND(V70="Detectivo",W70="Manual"),"30%",IF(AND(V70="Correctivo",W70="Automático"),"35%",IF(AND(V70="Correctivo",W70="Manual"),"25%",""))))))</f>
        <v>40%</v>
      </c>
      <c r="Y73" s="248" t="s">
        <v>17</v>
      </c>
      <c r="Z73" s="248" t="s">
        <v>20</v>
      </c>
      <c r="AA73" s="248" t="s">
        <v>105</v>
      </c>
      <c r="AB73" s="364"/>
      <c r="AC73" s="364" t="s">
        <v>513</v>
      </c>
      <c r="AD73" s="141">
        <v>0.6</v>
      </c>
      <c r="AE73" s="143" t="s">
        <v>93</v>
      </c>
      <c r="AF73" s="139">
        <v>0.6</v>
      </c>
      <c r="AG73" s="143" t="str">
        <f>IFERROR(IF(AH72="","",IF(AH72&lt;=0.2,"Leve",IF(AH72&lt;=0.4,"Menor",IF(AH72&lt;=0.6,"Moderado",IF(AH72&lt;=0.8,"Mayor","Catastrófico"))))),"")</f>
        <v>Moderado</v>
      </c>
      <c r="AH73" s="139">
        <v>0.6</v>
      </c>
      <c r="AI73" s="213" t="s">
        <v>68</v>
      </c>
      <c r="AJ73" s="351" t="s">
        <v>68</v>
      </c>
      <c r="AK73" s="248" t="s">
        <v>119</v>
      </c>
      <c r="AL73" s="234"/>
      <c r="AM73" s="234"/>
      <c r="AN73" s="234"/>
      <c r="AO73" s="234"/>
      <c r="AP73" s="234"/>
      <c r="AQ73" s="234"/>
      <c r="AR73" s="234"/>
      <c r="AS73" s="234"/>
      <c r="AT73" s="234"/>
      <c r="AU73" s="234"/>
      <c r="AV73" s="234"/>
      <c r="AW73" s="234"/>
      <c r="AX73" s="234"/>
      <c r="AY73" s="234"/>
      <c r="AZ73" s="234"/>
      <c r="BA73" s="234"/>
      <c r="BB73" s="234"/>
      <c r="BC73" s="234"/>
      <c r="BD73" s="234"/>
      <c r="BE73" s="234"/>
      <c r="BF73" s="234"/>
      <c r="BG73" s="234"/>
      <c r="BH73" s="234"/>
      <c r="BI73" s="234"/>
      <c r="BJ73" s="234"/>
      <c r="BK73" s="234"/>
      <c r="BL73" s="234"/>
      <c r="BM73" s="234"/>
      <c r="BN73" s="234"/>
      <c r="BO73" s="234"/>
      <c r="BP73" s="234"/>
      <c r="BQ73" s="234"/>
      <c r="BR73" s="234"/>
      <c r="BS73" s="234"/>
      <c r="BT73" s="234"/>
      <c r="BU73" s="234"/>
      <c r="BV73" s="234"/>
      <c r="BW73" s="234"/>
      <c r="BX73" s="234"/>
      <c r="BY73" s="234"/>
      <c r="BZ73" s="234"/>
      <c r="CA73" s="234"/>
      <c r="CB73" s="234"/>
    </row>
    <row r="74" spans="1:81" ht="216.75" customHeight="1" x14ac:dyDescent="0.2">
      <c r="A74" s="685"/>
      <c r="B74" s="780">
        <v>10</v>
      </c>
      <c r="C74" s="783" t="s">
        <v>256</v>
      </c>
      <c r="D74" s="687" t="s">
        <v>203</v>
      </c>
      <c r="E74" s="201">
        <v>31</v>
      </c>
      <c r="F74" s="267" t="s">
        <v>842</v>
      </c>
      <c r="G74" s="263" t="s">
        <v>425</v>
      </c>
      <c r="H74" s="263" t="s">
        <v>258</v>
      </c>
      <c r="I74" s="330" t="s">
        <v>213</v>
      </c>
      <c r="J74" s="317" t="s">
        <v>232</v>
      </c>
      <c r="K74" s="318" t="s">
        <v>199</v>
      </c>
      <c r="L74" s="146">
        <v>1460</v>
      </c>
      <c r="M74" s="306" t="str">
        <f t="shared" si="22"/>
        <v>Alta</v>
      </c>
      <c r="N74" s="214">
        <f t="shared" si="23"/>
        <v>0.8</v>
      </c>
      <c r="O74" s="376" t="s">
        <v>85</v>
      </c>
      <c r="P74" s="306" t="str">
        <f>IF(OR(O74='6.Tabla Impacto'!$C$11,O74='6.Tabla Impacto'!$D$11),"Leve",IF(OR(O74='6.Tabla Impacto'!$C$12,O74='6.Tabla Impacto'!$D$12),"Menor",IF(OR(O74='6.Tabla Impacto'!$C$13,O74='6.Tabla Impacto'!$D$13),"Moderado",IF(OR(O74='6.Tabla Impacto'!$C$14,O74:O74='6.Tabla Impacto'!$D$14),"Mayor",IF(OR(O74='6.Tabla Impacto'!$C$15,O74='6.Tabla Impacto'!$D$15),"Catastrófico","")))))</f>
        <v>Moderado</v>
      </c>
      <c r="Q74" s="307">
        <f>IF(P74="","",IF(P74="Leve",0.2,IF(P74="Menor",0.4,IF(P74="Moderado",0.6,IF(P74="Mayor",0.8,IF(P74="Catastrófico",1,))))))</f>
        <v>0.6</v>
      </c>
      <c r="R74" s="304" t="str">
        <f>IF(OR(AND(M74="Muy Baja",P74="Leve"),AND(M74="Muy Baja",P74="Menor"),AND(M74="Baja",P74="Leve")),"Bajo",IF(OR(AND(M74="Muy baja",P74="Moderado"),AND(M74="Baja",P74="Menor"),AND(M74="Baja",P74="Moderado"),AND(M74="Media",P74="Leve"),AND(M74="Media",P74="Menor"),AND(M74="Media",P74="Moderado"),AND(M74="Alta",P74="Leve"),AND(M74="Alta",P74="Menor")),"Moderado",IF(OR(AND(M74="Muy Baja",P74="Mayor"),AND(M74="Baja",P74="Mayor"),AND(M74="Media",P74="Mayor"),AND(M74="Alta",P74="Moderado"),AND(M74="Alta",P74="Mayor"),AND(M74="Muy Alta",P74="Leve"),AND(M74="Muy Alta",P74="Menor"),AND(M74="Muy Alta",P74="Moderado"),AND(M74="Muy Alta",P74="Mayor")),"Alto",IF(OR(AND(M74="Muy Baja",P74="Catastrófico"),AND(M74="Baja",P74="Catastrófico"),AND(M74="Media",P74="Catastrófico"),AND(M74="Alta",P74="Catastrófico"),AND(M74="Muy Alta",P74="Catastrófico")),"Extremo",""))))</f>
        <v>Alto</v>
      </c>
      <c r="S74" s="219">
        <v>1</v>
      </c>
      <c r="T74" s="267" t="s">
        <v>480</v>
      </c>
      <c r="U74" s="140" t="str">
        <f t="shared" ref="U74:U80" si="24">IF(OR(V74="Preventivo",V74="Detectivo"),"Probabilidad",IF(V74="Correctivo","Impacto",""))</f>
        <v>Probabilidad</v>
      </c>
      <c r="V74" s="248" t="s">
        <v>12</v>
      </c>
      <c r="W74" s="248" t="s">
        <v>7</v>
      </c>
      <c r="X74" s="139" t="str">
        <f>IF(AND(V74="Preventivo",W74="Automático"),"50%",IF(AND(V74="Preventivo",W74="Manual"),"40%",IF(AND(V74="Detectivo",W74="Automático"),"40%",IF(AND(V74="Detectivo",W74="Manual"),"30%",IF(AND(V74="Correctivo",W74="Automático"),"35%",IF(AND(V74="Correctivo",W74="Manual"),"25%",""))))))</f>
        <v>40%</v>
      </c>
      <c r="Y74" s="248" t="s">
        <v>17</v>
      </c>
      <c r="Z74" s="248" t="s">
        <v>20</v>
      </c>
      <c r="AA74" s="248" t="s">
        <v>105</v>
      </c>
      <c r="AB74" s="364"/>
      <c r="AC74" s="364" t="s">
        <v>660</v>
      </c>
      <c r="AD74" s="141">
        <v>0.6</v>
      </c>
      <c r="AE74" s="143" t="str">
        <f>IFERROR(IF(AD74="","",IF(AD74&lt;=0.2,"Muy Baja",IF(AD74&lt;=0.4,"Baja",IF(AD74&lt;=0.6,"Media",IF(AD74&lt;=0.8,"Alta","Muy Alta"))))),"")</f>
        <v>Media</v>
      </c>
      <c r="AF74" s="139">
        <v>0.48</v>
      </c>
      <c r="AG74" s="143" t="str">
        <f t="shared" si="21"/>
        <v>Moderado</v>
      </c>
      <c r="AH74" s="139">
        <f>IFERROR(IF(AND(U52="Impacto",U74="Impacto"),(AH52-(+AH52*X74)),IF(U74="Impacto",($L$51-(+$L$51*X74)),IF(U74="Probabilidad",AH52,""))),"")</f>
        <v>0.6</v>
      </c>
      <c r="AI74" s="213" t="s">
        <v>67</v>
      </c>
      <c r="AJ74" s="351" t="s">
        <v>68</v>
      </c>
      <c r="AK74" s="248" t="s">
        <v>119</v>
      </c>
    </row>
    <row r="75" spans="1:81" ht="123.75" customHeight="1" x14ac:dyDescent="0.2">
      <c r="A75" s="685"/>
      <c r="B75" s="781"/>
      <c r="C75" s="784"/>
      <c r="D75" s="688"/>
      <c r="E75" s="345">
        <v>32</v>
      </c>
      <c r="F75" s="312" t="s">
        <v>843</v>
      </c>
      <c r="G75" s="330" t="s">
        <v>257</v>
      </c>
      <c r="H75" s="330" t="s">
        <v>259</v>
      </c>
      <c r="I75" s="330" t="s">
        <v>213</v>
      </c>
      <c r="J75" s="317" t="s">
        <v>232</v>
      </c>
      <c r="K75" s="318" t="s">
        <v>199</v>
      </c>
      <c r="L75" s="367">
        <v>1460</v>
      </c>
      <c r="M75" s="306" t="str">
        <f t="shared" si="22"/>
        <v>Alta</v>
      </c>
      <c r="N75" s="307">
        <f t="shared" si="23"/>
        <v>0.8</v>
      </c>
      <c r="O75" s="380" t="s">
        <v>85</v>
      </c>
      <c r="P75" s="306" t="str">
        <f>IF(OR(O75='6.Tabla Impacto'!$C$11,O75='6.Tabla Impacto'!$D$11),"Leve",IF(OR(O75='6.Tabla Impacto'!$C$12,O75='6.Tabla Impacto'!$D$12),"Menor",IF(OR(O75='6.Tabla Impacto'!$C$13,O75='6.Tabla Impacto'!$D$13),"Moderado",IF(OR(O75='6.Tabla Impacto'!$C$14,O75:O75='6.Tabla Impacto'!$D$14),"Mayor",IF(OR(O75='6.Tabla Impacto'!$C$15,O75='6.Tabla Impacto'!$D$15),"Catastrófico","")))))</f>
        <v>Moderado</v>
      </c>
      <c r="Q75" s="307">
        <f>IF(P75="","",IF(P75="Leve",0.2,IF(P75="Menor",0.4,IF(P75="Moderado",0.6,IF(P75="Mayor",0.8,IF(P75="Catastrófico",1,))))))</f>
        <v>0.6</v>
      </c>
      <c r="R75" s="304" t="str">
        <f>IF(OR(AND(M75="Muy Baja",P75="Leve"),AND(M75="Muy Baja",P75="Menor"),AND(M75="Baja",P75="Leve")),"Bajo",IF(OR(AND(M75="Muy baja",P75="Moderado"),AND(M75="Baja",P75="Menor"),AND(M75="Baja",P75="Moderado"),AND(M75="Media",P75="Leve"),AND(M75="Media",P75="Menor"),AND(M75="Media",P75="Moderado"),AND(M75="Alta",P75="Leve"),AND(M75="Alta",P75="Menor")),"Moderado",IF(OR(AND(M75="Muy Baja",P75="Mayor"),AND(M75="Baja",P75="Mayor"),AND(M75="Media",P75="Mayor"),AND(M75="Alta",P75="Moderado"),AND(M75="Alta",P75="Mayor"),AND(M75="Muy Alta",P75="Leve"),AND(M75="Muy Alta",P75="Menor"),AND(M75="Muy Alta",P75="Moderado"),AND(M75="Muy Alta",P75="Mayor")),"Alto",IF(OR(AND(M75="Muy Baja",P75="Catastrófico"),AND(M75="Baja",P75="Catastrófico"),AND(M75="Media",P75="Catastrófico"),AND(M75="Alta",P75="Catastrófico"),AND(M75="Muy Alta",P75="Catastrófico")),"Extremo",""))))</f>
        <v>Alto</v>
      </c>
      <c r="S75" s="318">
        <v>1</v>
      </c>
      <c r="T75" s="312" t="s">
        <v>481</v>
      </c>
      <c r="U75" s="314" t="str">
        <f t="shared" si="24"/>
        <v>Probabilidad</v>
      </c>
      <c r="V75" s="321" t="s">
        <v>12</v>
      </c>
      <c r="W75" s="321" t="s">
        <v>7</v>
      </c>
      <c r="X75" s="323" t="str">
        <f>IF(AND(V75="Preventivo",W75="Automático"),"50%",IF(AND(V75="Preventivo",W75="Manual"),"40%",IF(AND(V75="Detectivo",W75="Automático"),"40%",IF(AND(V75="Detectivo",W75="Manual"),"30%",IF(AND(V75="Correctivo",W75="Automático"),"35%",IF(AND(V75="Correctivo",W75="Manual"),"25%",""))))))</f>
        <v>40%</v>
      </c>
      <c r="Y75" s="321" t="s">
        <v>17</v>
      </c>
      <c r="Z75" s="321" t="s">
        <v>20</v>
      </c>
      <c r="AA75" s="321" t="s">
        <v>105</v>
      </c>
      <c r="AB75" s="317"/>
      <c r="AC75" s="317" t="s">
        <v>661</v>
      </c>
      <c r="AD75" s="340">
        <v>0.6</v>
      </c>
      <c r="AE75" s="342" t="str">
        <f>IFERROR(IF(AD75="","",IF(AD75&lt;=0.2,"Muy Baja",IF(AD75&lt;=0.4,"Baja",IF(AD75&lt;=0.6,"Media",IF(AD75&lt;=0.8,"Alta","Muy Alta"))))),"")</f>
        <v>Media</v>
      </c>
      <c r="AF75" s="323">
        <f t="shared" ref="AF75:AF83" si="25">+AD75</f>
        <v>0.6</v>
      </c>
      <c r="AG75" s="342" t="str">
        <f t="shared" si="21"/>
        <v>Moderado</v>
      </c>
      <c r="AH75" s="323">
        <f>IFERROR(IF(AND(U74="Impacto",U75="Impacto"),(AH74-(+AH74*X75)),IF(U75="Impacto",($L$51-(+$L$51*X75)),IF(U75="Probabilidad",AH74,""))),"")</f>
        <v>0.6</v>
      </c>
      <c r="AI75" s="351" t="str">
        <f t="shared" ref="AI75:AI101" si="26">IFERROR(IF(OR(AND(AE75="Muy Baja",AG75="Leve"),AND(AE75="Muy Baja",AG75="Menor"),AND(AE75="Baja",AG75="Leve")),"Bajo",IF(OR(AND(AE75="Muy baja",AG75="Moderado"),AND(AE75="Baja",AG75="Menor"),AND(AE75="Baja",AG75="Moderado"),AND(AE75="Media",AG75="Leve"),AND(AE75="Media",AG75="Menor"),AND(AE75="Media",AG75="Moderado"),AND(AE75="Alta",AG75="Leve"),AND(AE75="Alta",AG75="Menor")),"Moderado",IF(OR(AND(AE75="Muy Baja",AG75="Mayor"),AND(AE75="Baja",AG75="Mayor"),AND(AE75="Media",AG75="Mayor"),AND(AE75="Alta",AG75="Moderado"),AND(AE75="Alta",AG75="Mayor"),AND(AE75="Muy Alta",AG75="Leve"),AND(AE75="Muy Alta",AG75="Menor"),AND(AE75="Muy Alta",AG75="Moderado"),AND(AE75="Muy Alta",AG75="Mayor")),"Alto",IF(OR(AND(AE75="Muy Baja",AG75="Catastrófico"),AND(AE75="Baja",AG75="Catastrófico"),AND(AE75="Media",AG75="Catastrófico"),AND(AE75="Alta",AG75="Catastrófico"),AND(AE75="Muy Alta",AG75="Catastrófico")),"Extremo","")))),"")</f>
        <v>Moderado</v>
      </c>
      <c r="AJ75" s="351" t="s">
        <v>68</v>
      </c>
      <c r="AK75" s="321" t="s">
        <v>119</v>
      </c>
      <c r="AL75" s="242"/>
      <c r="AM75" s="242"/>
      <c r="AN75" s="242"/>
      <c r="AO75" s="242"/>
      <c r="AP75" s="242"/>
      <c r="AQ75" s="242"/>
      <c r="AR75" s="242"/>
      <c r="AS75" s="242"/>
      <c r="AT75" s="242"/>
      <c r="AU75" s="242"/>
      <c r="AV75" s="242"/>
      <c r="AW75" s="242"/>
      <c r="AX75" s="242"/>
      <c r="AY75" s="242"/>
      <c r="AZ75" s="242"/>
      <c r="BA75" s="242"/>
      <c r="BB75" s="242"/>
      <c r="BC75" s="242"/>
      <c r="BD75" s="242"/>
      <c r="BE75" s="242"/>
      <c r="BF75" s="242"/>
      <c r="BG75" s="242"/>
      <c r="BH75" s="242"/>
      <c r="BI75" s="242"/>
      <c r="BJ75" s="242"/>
      <c r="BK75" s="242"/>
      <c r="BL75" s="242"/>
      <c r="BM75" s="242"/>
      <c r="BN75" s="242"/>
      <c r="BO75" s="242"/>
      <c r="BP75" s="242"/>
      <c r="BQ75" s="242"/>
      <c r="BR75" s="242"/>
      <c r="BS75" s="242"/>
      <c r="BT75" s="242"/>
      <c r="BU75" s="242"/>
      <c r="BV75" s="242"/>
      <c r="BW75" s="242"/>
      <c r="BX75" s="242"/>
      <c r="BY75" s="242"/>
      <c r="BZ75" s="242"/>
      <c r="CA75" s="242"/>
      <c r="CB75" s="242"/>
    </row>
    <row r="76" spans="1:81" s="135" customFormat="1" ht="187.5" customHeight="1" x14ac:dyDescent="0.2">
      <c r="A76" s="685"/>
      <c r="B76" s="782"/>
      <c r="C76" s="784"/>
      <c r="D76" s="688"/>
      <c r="E76" s="201">
        <v>33</v>
      </c>
      <c r="F76" s="267" t="s">
        <v>844</v>
      </c>
      <c r="G76" s="263" t="s">
        <v>349</v>
      </c>
      <c r="H76" s="247" t="s">
        <v>260</v>
      </c>
      <c r="I76" s="263" t="s">
        <v>213</v>
      </c>
      <c r="J76" s="364" t="s">
        <v>232</v>
      </c>
      <c r="K76" s="219" t="s">
        <v>199</v>
      </c>
      <c r="L76" s="146">
        <v>2190</v>
      </c>
      <c r="M76" s="217" t="str">
        <f t="shared" si="22"/>
        <v>Alta</v>
      </c>
      <c r="N76" s="214">
        <f t="shared" si="23"/>
        <v>0.8</v>
      </c>
      <c r="O76" s="376" t="s">
        <v>85</v>
      </c>
      <c r="P76" s="217" t="str">
        <f>IF(OR(O76='6.Tabla Impacto'!$C$11,O76='6.Tabla Impacto'!$D$11),"Leve",IF(OR(O76='6.Tabla Impacto'!$C$12,O76='6.Tabla Impacto'!$D$12),"Menor",IF(OR(O76='6.Tabla Impacto'!$C$13,O76='6.Tabla Impacto'!$D$13),"Moderado",IF(OR(O76='6.Tabla Impacto'!$C$14,O76:O76='6.Tabla Impacto'!$D$14),"Mayor",IF(OR(O76='6.Tabla Impacto'!$C$15,O76='6.Tabla Impacto'!$D$15),"Catastrófico","")))))</f>
        <v>Moderado</v>
      </c>
      <c r="Q76" s="214">
        <f>IF(P76="","",IF(P76="Leve",0.2,IF(P76="Menor",0.4,IF(P76="Moderado",0.6,IF(P76="Mayor",0.8,IF(P76="Catastrófico",1,))))))</f>
        <v>0.6</v>
      </c>
      <c r="R76" s="215" t="str">
        <f>IF(OR(AND(M76="Muy Baja",P76="Leve"),AND(M76="Muy Baja",P76="Menor"),AND(M76="Baja",P76="Leve")),"Bajo",IF(OR(AND(M76="Muy baja",P76="Moderado"),AND(M76="Baja",P76="Menor"),AND(M76="Baja",P76="Moderado"),AND(M76="Media",P76="Leve"),AND(M76="Media",P76="Menor"),AND(M76="Media",P76="Moderado"),AND(M76="Alta",P76="Leve"),AND(M76="Alta",P76="Menor")),"Moderado",IF(OR(AND(M76="Muy Baja",P76="Mayor"),AND(M76="Baja",P76="Mayor"),AND(M76="Media",P76="Mayor"),AND(M76="Alta",P76="Moderado"),AND(M76="Alta",P76="Mayor"),AND(M76="Muy Alta",P76="Leve"),AND(M76="Muy Alta",P76="Menor"),AND(M76="Muy Alta",P76="Moderado"),AND(M76="Muy Alta",P76="Mayor")),"Alto",IF(OR(AND(M76="Muy Baja",P76="Catastrófico"),AND(M76="Baja",P76="Catastrófico"),AND(M76="Media",P76="Catastrófico"),AND(M76="Alta",P76="Catastrófico"),AND(M76="Muy Alta",P76="Catastrófico")),"Extremo",""))))</f>
        <v>Alto</v>
      </c>
      <c r="S76" s="219">
        <v>1</v>
      </c>
      <c r="T76" s="267" t="s">
        <v>482</v>
      </c>
      <c r="U76" s="140" t="str">
        <f t="shared" si="24"/>
        <v>Probabilidad</v>
      </c>
      <c r="V76" s="248" t="s">
        <v>12</v>
      </c>
      <c r="W76" s="248" t="s">
        <v>7</v>
      </c>
      <c r="X76" s="139" t="str">
        <f>IF(AND(V76="Preventivo",W76="Automático"),"50%",IF(AND(V76="Preventivo",W76="Manual"),"40%",IF(AND(V76="Detectivo",W76="Automático"),"40%",IF(AND(V76="Detectivo",W76="Manual"),"30%",IF(AND(V76="Correctivo",W76="Automático"),"35%",IF(AND(V76="Correctivo",W76="Manual"),"25%",""))))))</f>
        <v>40%</v>
      </c>
      <c r="Y76" s="248" t="s">
        <v>17</v>
      </c>
      <c r="Z76" s="248" t="s">
        <v>20</v>
      </c>
      <c r="AA76" s="248" t="s">
        <v>105</v>
      </c>
      <c r="AB76" s="364"/>
      <c r="AC76" s="364" t="s">
        <v>662</v>
      </c>
      <c r="AD76" s="141">
        <v>0.6</v>
      </c>
      <c r="AE76" s="143" t="str">
        <f>IFERROR(IF(AD76="","",IF(AD76&lt;=0.2,"Muy Baja",IF(AD76&lt;=0.4,"Baja",IF(AD76&lt;=0.6,"Media",IF(AD76&lt;=0.8,"Alta","Muy Alta"))))),"")</f>
        <v>Media</v>
      </c>
      <c r="AF76" s="139">
        <f t="shared" si="25"/>
        <v>0.6</v>
      </c>
      <c r="AG76" s="143" t="str">
        <f t="shared" si="21"/>
        <v>Moderado</v>
      </c>
      <c r="AH76" s="139">
        <f>IFERROR(IF(AND(U75="Impacto",U76="Impacto"),(AH75-(+AH75*X76)),IF(U76="Impacto",($L$51-(+$L$51*X76)),IF(U76="Probabilidad",AH75,""))),"")</f>
        <v>0.6</v>
      </c>
      <c r="AI76" s="213" t="str">
        <f t="shared" si="26"/>
        <v>Moderado</v>
      </c>
      <c r="AJ76" s="213" t="s">
        <v>68</v>
      </c>
      <c r="AK76" s="248" t="s">
        <v>119</v>
      </c>
      <c r="AL76" s="242"/>
      <c r="AM76" s="242"/>
      <c r="AN76" s="242"/>
      <c r="AO76" s="242"/>
      <c r="AP76" s="242"/>
      <c r="AQ76" s="242"/>
      <c r="AR76" s="242"/>
      <c r="AS76" s="242"/>
      <c r="AT76" s="242"/>
      <c r="AU76" s="242"/>
      <c r="AV76" s="242"/>
      <c r="AW76" s="242"/>
      <c r="AX76" s="242"/>
      <c r="AY76" s="242"/>
      <c r="AZ76" s="242"/>
      <c r="BA76" s="242"/>
      <c r="BB76" s="242"/>
      <c r="BC76" s="242"/>
      <c r="BD76" s="242"/>
      <c r="BE76" s="242"/>
      <c r="BF76" s="242"/>
      <c r="BG76" s="242"/>
      <c r="BH76" s="242"/>
      <c r="BI76" s="242"/>
      <c r="BJ76" s="242"/>
      <c r="BK76" s="242"/>
      <c r="BL76" s="242"/>
      <c r="BM76" s="242"/>
      <c r="BN76" s="242"/>
      <c r="BO76" s="242"/>
      <c r="BP76" s="242"/>
      <c r="BQ76" s="242"/>
      <c r="BR76" s="242"/>
      <c r="BS76" s="242"/>
      <c r="BT76" s="242"/>
      <c r="BU76" s="242"/>
      <c r="BV76" s="242"/>
      <c r="BW76" s="242"/>
      <c r="BX76" s="242"/>
      <c r="BY76" s="242"/>
      <c r="BZ76" s="242"/>
      <c r="CA76" s="242"/>
      <c r="CB76" s="242"/>
      <c r="CC76" s="241"/>
    </row>
    <row r="77" spans="1:81" ht="301.5" customHeight="1" x14ac:dyDescent="0.2">
      <c r="A77" s="685"/>
      <c r="B77" s="780">
        <v>11</v>
      </c>
      <c r="C77" s="783" t="s">
        <v>261</v>
      </c>
      <c r="D77" s="687" t="s">
        <v>203</v>
      </c>
      <c r="E77" s="658">
        <v>34</v>
      </c>
      <c r="F77" s="653" t="s">
        <v>845</v>
      </c>
      <c r="G77" s="653" t="s">
        <v>263</v>
      </c>
      <c r="H77" s="575" t="s">
        <v>264</v>
      </c>
      <c r="I77" s="653" t="s">
        <v>213</v>
      </c>
      <c r="J77" s="592" t="s">
        <v>232</v>
      </c>
      <c r="K77" s="594" t="s">
        <v>199</v>
      </c>
      <c r="L77" s="816">
        <v>48</v>
      </c>
      <c r="M77" s="565" t="str">
        <f t="shared" si="22"/>
        <v>Media</v>
      </c>
      <c r="N77" s="567">
        <f t="shared" si="23"/>
        <v>0.6</v>
      </c>
      <c r="O77" s="707" t="s">
        <v>132</v>
      </c>
      <c r="P77" s="565" t="str">
        <f>IF(OR(O77='6.Tabla Impacto'!$C$11,O77='6.Tabla Impacto'!$D$11),"Leve",IF(OR(O77='6.Tabla Impacto'!$C$12,O77='6.Tabla Impacto'!$D$12),"Menor",IF(OR(O77='6.Tabla Impacto'!$C$13,O77='6.Tabla Impacto'!$D$13),"Moderado",IF(OR(O77='6.Tabla Impacto'!$C$14,O77:O77='6.Tabla Impacto'!$D$14),"Mayor",IF(OR(O77='6.Tabla Impacto'!$C$15,O77='6.Tabla Impacto'!$D$15),"Catastrófico","")))))</f>
        <v>Moderado</v>
      </c>
      <c r="Q77" s="567">
        <f>IF(P77="","",IF(P77="Leve",0.2,IF(P77="Menor",0.4,IF(P77="Moderado",0.6,IF(P77="Mayor",0.8,IF(P77="Catastrófico",1,))))))</f>
        <v>0.6</v>
      </c>
      <c r="R77" s="562" t="str">
        <f>IF(OR(AND(M77="Muy Baja",P77="Leve"),AND(M77="Muy Baja",P77="Menor"),AND(M77="Baja",P77="Leve")),"Bajo",IF(OR(AND(M77="Muy baja",P77="Moderado"),AND(M77="Baja",P77="Menor"),AND(M77="Baja",P77="Moderado"),AND(M77="Media",P77="Leve"),AND(M77="Media",P77="Menor"),AND(M77="Media",P77="Moderado"),AND(M77="Alta",P77="Leve"),AND(M77="Alta",P77="Menor")),"Moderado",IF(OR(AND(M77="Muy Baja",P77="Mayor"),AND(M77="Baja",P77="Mayor"),AND(M77="Media",P77="Mayor"),AND(M77="Alta",P77="Moderado"),AND(M77="Alta",P77="Mayor"),AND(M77="Muy Alta",P77="Leve"),AND(M77="Muy Alta",P77="Menor"),AND(M77="Muy Alta",P77="Moderado"),AND(M77="Muy Alta",P77="Mayor")),"Alto",IF(OR(AND(M77="Muy Baja",P77="Catastrófico"),AND(M77="Baja",P77="Catastrófico"),AND(M77="Media",P77="Catastrófico"),AND(M77="Alta",P77="Catastrófico"),AND(M77="Muy Alta",P77="Catastrófico")),"Extremo",""))))</f>
        <v>Moderado</v>
      </c>
      <c r="S77" s="319">
        <v>1</v>
      </c>
      <c r="T77" s="381" t="s">
        <v>362</v>
      </c>
      <c r="U77" s="315" t="str">
        <f t="shared" si="24"/>
        <v>Probabilidad</v>
      </c>
      <c r="V77" s="322" t="s">
        <v>12</v>
      </c>
      <c r="W77" s="322" t="s">
        <v>7</v>
      </c>
      <c r="X77" s="325" t="str">
        <f>IF(AND(V77="Preventivo",W77="Automático"),"50%",IF(AND(V77="Preventivo",W77="Manual"),"40%",IF(AND(V77="Detectivo",W77="Automático"),"40%",IF(AND(V77="Detectivo",W77="Manual"),"30%",IF(AND(V77="Correctivo",W77="Automático"),"35%",IF(AND(V77="Correctivo",W77="Manual"),"25%",""))))))</f>
        <v>40%</v>
      </c>
      <c r="Y77" s="322" t="s">
        <v>17</v>
      </c>
      <c r="Z77" s="322" t="s">
        <v>20</v>
      </c>
      <c r="AA77" s="322" t="s">
        <v>105</v>
      </c>
      <c r="AB77" s="210"/>
      <c r="AC77" s="332" t="s">
        <v>514</v>
      </c>
      <c r="AD77" s="141">
        <v>0.6</v>
      </c>
      <c r="AE77" s="143" t="str">
        <f>IFERROR(IF(AD77="","",IF(AD77&lt;=0.2,"Muy Baja",IF(AD77&lt;=0.4,"Baja",IF(AD77&lt;=0.6,"Media",IF(AD77&lt;=0.8,"Alta","Muy Alta"))))),"")</f>
        <v>Media</v>
      </c>
      <c r="AF77" s="325">
        <f t="shared" si="25"/>
        <v>0.6</v>
      </c>
      <c r="AG77" s="343" t="str">
        <f t="shared" si="21"/>
        <v>Moderado</v>
      </c>
      <c r="AH77" s="325">
        <f>IFERROR(IF(AND(U74="Impacto",U77="Impacto"),(AH74-(+AH74*X77)),IF(U77="Impacto",($L$51-(+$L$51*X77)),IF(U77="Probabilidad",AH74,""))),"")</f>
        <v>0.6</v>
      </c>
      <c r="AI77" s="352" t="str">
        <f t="shared" si="26"/>
        <v>Moderado</v>
      </c>
      <c r="AJ77" s="382" t="s">
        <v>68</v>
      </c>
      <c r="AK77" s="322" t="s">
        <v>119</v>
      </c>
    </row>
    <row r="78" spans="1:81" ht="231" customHeight="1" x14ac:dyDescent="0.2">
      <c r="A78" s="685"/>
      <c r="B78" s="782"/>
      <c r="C78" s="785"/>
      <c r="D78" s="800"/>
      <c r="E78" s="659"/>
      <c r="F78" s="654"/>
      <c r="G78" s="654"/>
      <c r="H78" s="576"/>
      <c r="I78" s="654"/>
      <c r="J78" s="655"/>
      <c r="K78" s="595"/>
      <c r="L78" s="642"/>
      <c r="M78" s="566"/>
      <c r="N78" s="568"/>
      <c r="O78" s="708"/>
      <c r="P78" s="566"/>
      <c r="Q78" s="568"/>
      <c r="R78" s="564"/>
      <c r="S78" s="319">
        <v>2</v>
      </c>
      <c r="T78" s="267" t="s">
        <v>472</v>
      </c>
      <c r="U78" s="140" t="str">
        <f t="shared" si="24"/>
        <v>Probabilidad</v>
      </c>
      <c r="V78" s="248" t="s">
        <v>12</v>
      </c>
      <c r="W78" s="248" t="s">
        <v>7</v>
      </c>
      <c r="X78" s="139" t="str">
        <f>IF(AND(V78="Preventivo",W78="Automático"),"50%",IF(AND(V78="Preventivo",W78="Manual"),"40%",IF(AND(V78="Detectivo",W78="Automático"),"40%",IF(AND(V78="Detectivo",W78="Manual"),"30%",IF(AND(V78="Correctivo",W78="Automático"),"35%",IF(AND(V78="Correctivo",W78="Manual"),"25%",""))))))</f>
        <v>40%</v>
      </c>
      <c r="Y78" s="248" t="s">
        <v>17</v>
      </c>
      <c r="Z78" s="248" t="s">
        <v>20</v>
      </c>
      <c r="AA78" s="248" t="s">
        <v>105</v>
      </c>
      <c r="AB78" s="210"/>
      <c r="AC78" s="332" t="s">
        <v>515</v>
      </c>
      <c r="AD78" s="141">
        <v>0.6</v>
      </c>
      <c r="AE78" s="143" t="str">
        <f>IFERROR(IF(AD78="","",IF(AD78&lt;=0.2,"Muy Baja",IF(AD78&lt;=0.4,"Baja",IF(AD78&lt;=0.6,"Media",IF(AD78&lt;=0.8,"Alta","Muy Alta"))))),"")</f>
        <v>Media</v>
      </c>
      <c r="AF78" s="139">
        <f t="shared" si="25"/>
        <v>0.6</v>
      </c>
      <c r="AG78" s="143" t="str">
        <f t="shared" si="21"/>
        <v>Moderado</v>
      </c>
      <c r="AH78" s="139">
        <f>IFERROR(IF(AND(U75="Impacto",U78="Impacto"),(AH75-(+AH75*X78)),IF(U78="Impacto",($L$51-(+$L$51*X78)),IF(U78="Probabilidad",AH75,""))),"")</f>
        <v>0.6</v>
      </c>
      <c r="AI78" s="213" t="str">
        <f t="shared" si="26"/>
        <v>Moderado</v>
      </c>
      <c r="AJ78" s="213" t="s">
        <v>68</v>
      </c>
      <c r="AK78" s="248" t="s">
        <v>119</v>
      </c>
    </row>
    <row r="79" spans="1:81" ht="288.75" customHeight="1" x14ac:dyDescent="0.2">
      <c r="A79" s="685"/>
      <c r="B79" s="180">
        <v>12</v>
      </c>
      <c r="C79" s="181" t="s">
        <v>262</v>
      </c>
      <c r="D79" s="177" t="s">
        <v>203</v>
      </c>
      <c r="E79" s="201">
        <v>35</v>
      </c>
      <c r="F79" s="212" t="s">
        <v>846</v>
      </c>
      <c r="G79" s="211" t="s">
        <v>265</v>
      </c>
      <c r="H79" s="263" t="s">
        <v>266</v>
      </c>
      <c r="I79" s="263" t="s">
        <v>213</v>
      </c>
      <c r="J79" s="364" t="s">
        <v>227</v>
      </c>
      <c r="K79" s="219" t="s">
        <v>199</v>
      </c>
      <c r="L79" s="146">
        <v>982</v>
      </c>
      <c r="M79" s="217" t="str">
        <f>IF(L79&lt;=0,"",IF(L79&lt;=2,"Muy Baja",IF(L79&lt;=24,"Baja",IF(L79&lt;=500,"Media",IF(L79&lt;=5000,"Alta","Muy Alta")))))</f>
        <v>Alta</v>
      </c>
      <c r="N79" s="310">
        <f>IF(M79="","",IF(M79="Muy Baja",0.2,IF(M79="Baja",0.4,IF(M79="Media",0.6,IF(M79="Alta",0.8,IF(M79="Muy Alta",1,))))))</f>
        <v>0.8</v>
      </c>
      <c r="O79" s="376" t="s">
        <v>85</v>
      </c>
      <c r="P79" s="217" t="str">
        <f>IF(OR(O79='6.Tabla Impacto'!$C$11,O79='6.Tabla Impacto'!$D$11),"Leve",IF(OR(O79='6.Tabla Impacto'!$C$12,O79='6.Tabla Impacto'!$D$12),"Menor",IF(OR(O79='6.Tabla Impacto'!$C$13,O79='6.Tabla Impacto'!$D$13),"Moderado",IF(OR(O79='6.Tabla Impacto'!$C$14,O79:O79='6.Tabla Impacto'!$D$14),"Mayor",IF(OR(O79='6.Tabla Impacto'!$C$15,O79='6.Tabla Impacto'!$D$15),"Catastrófico","")))))</f>
        <v>Moderado</v>
      </c>
      <c r="Q79" s="214">
        <f>IF(P79="","",IF(P79="Leve",0.2,IF(P79="Menor",0.4,IF(P79="Moderado",0.6,IF(P79="Mayor",0.8,IF(P79="Catastrófico",1,))))))</f>
        <v>0.6</v>
      </c>
      <c r="R79" s="305" t="str">
        <f>IF(OR(AND(M79="Muy Baja",P79="Leve"),AND(M79="Muy Baja",P79="Menor"),AND(M79="Baja",P79="Leve")),"Bajo",IF(OR(AND(M79="Muy baja",P79="Moderado"),AND(M79="Baja",P79="Menor"),AND(M79="Baja",P79="Moderado"),AND(M79="Media",P79="Leve"),AND(M79="Media",P79="Menor"),AND(M79="Media",P79="Moderado"),AND(M79="Alta",P79="Leve"),AND(M79="Alta",P79="Menor")),"Moderado",IF(OR(AND(M79="Muy Baja",P79="Mayor"),AND(M79="Baja",P79="Mayor"),AND(M79="Media",P79="Mayor"),AND(M79="Alta",P79="Moderado"),AND(M79="Alta",P79="Mayor"),AND(M79="Muy Alta",P79="Leve"),AND(M79="Muy Alta",P79="Menor"),AND(M79="Muy Alta",P79="Moderado"),AND(M79="Muy Alta",P79="Mayor")),"Alto",IF(OR(AND(M79="Muy Baja",P79="Catastrófico"),AND(M79="Baja",P79="Catastrófico"),AND(M79="Media",P79="Catastrófico"),AND(M79="Alta",P79="Catastrófico"),AND(M79="Muy Alta",P79="Catastrófico")),"Extremo",""))))</f>
        <v>Alto</v>
      </c>
      <c r="S79" s="319">
        <v>1</v>
      </c>
      <c r="T79" s="267" t="s">
        <v>688</v>
      </c>
      <c r="U79" s="315" t="str">
        <f t="shared" si="24"/>
        <v>Probabilidad</v>
      </c>
      <c r="V79" s="248" t="s">
        <v>12</v>
      </c>
      <c r="W79" s="322" t="s">
        <v>7</v>
      </c>
      <c r="X79" s="325" t="str">
        <f t="shared" ref="X79:X101" si="27">IF(AND(V79="Preventivo",W79="Automático"),"50%",IF(AND(V79="Preventivo",W79="Manual"),"40%",IF(AND(V79="Detectivo",W79="Automático"),"40%",IF(AND(V79="Detectivo",W79="Manual"),"30%",IF(AND(V79="Correctivo",W79="Automático"),"35%",IF(AND(V79="Correctivo",W79="Manual"),"25%",""))))))</f>
        <v>40%</v>
      </c>
      <c r="Y79" s="338" t="s">
        <v>17</v>
      </c>
      <c r="Z79" s="339" t="s">
        <v>20</v>
      </c>
      <c r="AA79" s="136" t="s">
        <v>105</v>
      </c>
      <c r="AB79" s="210"/>
      <c r="AC79" s="332" t="s">
        <v>687</v>
      </c>
      <c r="AD79" s="141">
        <v>0.6</v>
      </c>
      <c r="AE79" s="147" t="str">
        <f t="shared" ref="AE79:AE101" si="28">IFERROR(IF(AD79="","",IF(AD79&lt;=0.2,"Muy Baja",IF(AD79&lt;=0.4,"Baja",IF(AD79&lt;=0.6,"Media",IF(AD79&lt;=0.8,"Alta","Muy Alta"))))),"")</f>
        <v>Media</v>
      </c>
      <c r="AF79" s="139">
        <f t="shared" si="25"/>
        <v>0.6</v>
      </c>
      <c r="AG79" s="143" t="str">
        <f t="shared" si="21"/>
        <v>Moderado</v>
      </c>
      <c r="AH79" s="139">
        <f>IFERROR(IF(AND(U76="Impacto",U79="Impacto"),(AH76-(+AH76*X79)),IF(U79="Impacto",($L$51-(+$L$51*X79)),IF(U79="Probabilidad",AH76,""))),"")</f>
        <v>0.6</v>
      </c>
      <c r="AI79" s="213" t="str">
        <f t="shared" si="26"/>
        <v>Moderado</v>
      </c>
      <c r="AJ79" s="352" t="str">
        <f>$AI$79</f>
        <v>Moderado</v>
      </c>
      <c r="AK79" s="321" t="s">
        <v>27</v>
      </c>
    </row>
    <row r="80" spans="1:81" ht="110.25" customHeight="1" x14ac:dyDescent="0.2">
      <c r="A80" s="685"/>
      <c r="B80" s="780">
        <v>13</v>
      </c>
      <c r="C80" s="783" t="s">
        <v>279</v>
      </c>
      <c r="D80" s="786" t="s">
        <v>203</v>
      </c>
      <c r="E80" s="658">
        <v>36</v>
      </c>
      <c r="F80" s="575" t="s">
        <v>847</v>
      </c>
      <c r="G80" s="653" t="s">
        <v>401</v>
      </c>
      <c r="H80" s="653" t="s">
        <v>402</v>
      </c>
      <c r="I80" s="653" t="s">
        <v>213</v>
      </c>
      <c r="J80" s="592" t="s">
        <v>227</v>
      </c>
      <c r="K80" s="594" t="s">
        <v>199</v>
      </c>
      <c r="L80" s="605">
        <v>890</v>
      </c>
      <c r="M80" s="565" t="str">
        <f>IF(L80&lt;=0,"",IF(L80&lt;=2,"Muy Baja",IF(L80&lt;=24,"Baja",IF(L80&lt;=500,"Media",IF(L80&lt;=5000,"Alta","Muy Alta")))))</f>
        <v>Alta</v>
      </c>
      <c r="N80" s="567">
        <f>IF(M80="","",IF(M80="Muy Baja",0.2,IF(M80="Baja",0.4,IF(M80="Media",0.6,IF(M80="Alta",0.8,IF(M80="Muy Alta",1,))))))</f>
        <v>0.8</v>
      </c>
      <c r="O80" s="707" t="s">
        <v>85</v>
      </c>
      <c r="P80" s="565" t="str">
        <f>IF(OR(O80='6.Tabla Impacto'!$C$11,O80='6.Tabla Impacto'!$D$11),"Leve",IF(OR(O80='6.Tabla Impacto'!$C$12,O80='6.Tabla Impacto'!$D$12),"Menor",IF(OR(O80='6.Tabla Impacto'!$C$13,O80='6.Tabla Impacto'!$D$13),"Moderado",IF(OR(O80='6.Tabla Impacto'!$C$14,O80:O80='6.Tabla Impacto'!$D$14),"Mayor",IF(OR(O80='6.Tabla Impacto'!$C$15,O80='6.Tabla Impacto'!$D$15),"Catastrófico","")))))</f>
        <v>Moderado</v>
      </c>
      <c r="Q80" s="567">
        <f>IF(P80="","",IF(P80="Leve",0.2,IF(P80="Menor",0.4,IF(P80="Moderado",0.6,IF(P80="Mayor",0.8,IF(P80="Catastrófico",1,))))))</f>
        <v>0.6</v>
      </c>
      <c r="R80" s="562" t="str">
        <f>IF(OR(AND(M80="Muy Baja",P80="Leve"),AND(M80="Muy Baja",P80="Menor"),AND(M80="Baja",P80="Leve")),"Bajo",IF(OR(AND(M80="Muy baja",P80="Moderado"),AND(M80="Baja",P80="Menor"),AND(M80="Baja",P80="Moderado"),AND(M80="Media",P80="Leve"),AND(M80="Media",P80="Menor"),AND(M80="Media",P80="Moderado"),AND(M80="Alta",P80="Leve"),AND(M80="Alta",P80="Menor")),"Moderado",IF(OR(AND(M80="Muy Baja",P80="Mayor"),AND(M80="Baja",P80="Mayor"),AND(M80="Media",P80="Mayor"),AND(M80="Alta",P80="Moderado"),AND(M80="Alta",P80="Mayor"),AND(M80="Muy Alta",P80="Leve"),AND(M80="Muy Alta",P80="Menor"),AND(M80="Muy Alta",P80="Moderado"),AND(M80="Muy Alta",P80="Mayor")),"Alto",IF(OR(AND(M80="Muy Baja",P80="Catastrófico"),AND(M80="Baja",P80="Catastrófico"),AND(M80="Media",P80="Catastrófico"),AND(M80="Alta",P80="Catastrófico"),AND(M80="Muy Alta",P80="Catastrófico")),"Extremo",""))))</f>
        <v>Alto</v>
      </c>
      <c r="S80" s="219">
        <v>1</v>
      </c>
      <c r="T80" s="267" t="s">
        <v>350</v>
      </c>
      <c r="U80" s="315" t="str">
        <f t="shared" si="24"/>
        <v>Probabilidad</v>
      </c>
      <c r="V80" s="322" t="s">
        <v>12</v>
      </c>
      <c r="W80" s="322" t="s">
        <v>7</v>
      </c>
      <c r="X80" s="325" t="str">
        <f t="shared" si="27"/>
        <v>40%</v>
      </c>
      <c r="Y80" s="338" t="s">
        <v>17</v>
      </c>
      <c r="Z80" s="339" t="s">
        <v>20</v>
      </c>
      <c r="AA80" s="136" t="s">
        <v>105</v>
      </c>
      <c r="AB80" s="364"/>
      <c r="AC80" s="332" t="s">
        <v>516</v>
      </c>
      <c r="AD80" s="141">
        <v>0.6</v>
      </c>
      <c r="AE80" s="138" t="str">
        <f t="shared" si="28"/>
        <v>Media</v>
      </c>
      <c r="AF80" s="139">
        <f t="shared" si="25"/>
        <v>0.6</v>
      </c>
      <c r="AG80" s="343" t="str">
        <f t="shared" ref="AG80:AG87" si="29">IFERROR(IF(AH80="","",IF(AH80&lt;=0.2,"Leve",IF(AH80&lt;=0.4,"Menor",IF(AH80&lt;=0.6,"Moderado",IF(AH80&lt;=0.8,"Mayor","Catastrófico"))))),"")</f>
        <v>Moderado</v>
      </c>
      <c r="AH80" s="325">
        <f>IFERROR(IF(U80="Impacto",(Q80-(+Q80*X80)),IF(U80="Probabilidad",Q80,"")),"")</f>
        <v>0.6</v>
      </c>
      <c r="AI80" s="352" t="str">
        <f t="shared" si="26"/>
        <v>Moderado</v>
      </c>
      <c r="AJ80" s="352" t="str">
        <f>$AI$80</f>
        <v>Moderado</v>
      </c>
      <c r="AK80" s="321" t="s">
        <v>27</v>
      </c>
    </row>
    <row r="81" spans="1:80" ht="176.25" customHeight="1" x14ac:dyDescent="0.2">
      <c r="A81" s="685"/>
      <c r="B81" s="781"/>
      <c r="C81" s="784"/>
      <c r="D81" s="787"/>
      <c r="E81" s="692"/>
      <c r="F81" s="742"/>
      <c r="G81" s="661"/>
      <c r="H81" s="661"/>
      <c r="I81" s="661"/>
      <c r="J81" s="647"/>
      <c r="K81" s="609"/>
      <c r="L81" s="637"/>
      <c r="M81" s="572"/>
      <c r="N81" s="571"/>
      <c r="O81" s="743"/>
      <c r="P81" s="572"/>
      <c r="Q81" s="571"/>
      <c r="R81" s="563"/>
      <c r="S81" s="219">
        <v>2</v>
      </c>
      <c r="T81" s="267" t="s">
        <v>470</v>
      </c>
      <c r="U81" s="148" t="str">
        <f>IF(OR(V81="Preventivo",V81="Detectivo"),"Probabilidad",IF(V81="Correctivo","Impacto",""))</f>
        <v>Probabilidad</v>
      </c>
      <c r="V81" s="149" t="s">
        <v>12</v>
      </c>
      <c r="W81" s="149" t="s">
        <v>7</v>
      </c>
      <c r="X81" s="150" t="str">
        <f t="shared" si="27"/>
        <v>40%</v>
      </c>
      <c r="Y81" s="151" t="s">
        <v>18</v>
      </c>
      <c r="Z81" s="152" t="s">
        <v>20</v>
      </c>
      <c r="AA81" s="153" t="s">
        <v>105</v>
      </c>
      <c r="AB81" s="364"/>
      <c r="AC81" s="332" t="s">
        <v>517</v>
      </c>
      <c r="AD81" s="188">
        <v>0.6</v>
      </c>
      <c r="AE81" s="147" t="str">
        <f t="shared" si="28"/>
        <v>Media</v>
      </c>
      <c r="AF81" s="139">
        <f t="shared" si="25"/>
        <v>0.6</v>
      </c>
      <c r="AG81" s="343" t="str">
        <f t="shared" si="29"/>
        <v>Moderado</v>
      </c>
      <c r="AH81" s="325">
        <v>0.6</v>
      </c>
      <c r="AI81" s="213" t="str">
        <f t="shared" si="26"/>
        <v>Moderado</v>
      </c>
      <c r="AJ81" s="351" t="str">
        <f>IFERROR(IF(OR(AND(AE82="Muy Baja",AG82="Leve"),AND(AE82="Muy Baja",AG82="Menor"),AND(AE82="Baja",AG82="Leve")),"Bajo",IF(OR(AND(AE82="Muy baja",AG82="Moderado"),AND(AE82="Baja",AG82="Menor"),AND(AE82="Baja",AG82="Moderado"),AND(AE82="Media",AG82="Leve"),AND(AE82="Media",AG82="Menor"),AND(AE82="Media",AG82="Moderado"),AND(AE82="Alta",AG82="Leve"),AND(AE82="Alta",AG82="Menor")),"Moderado",IF(OR(AND(AE82="Muy Baja",AG82="Mayor"),AND(AE82="Baja",AG82="Mayor"),AND(AE82="Media",AG82="Mayor"),AND(AE82="Alta",AG82="Moderado"),AND(AE82="Alta",AG82="Mayor"),AND(AE82="Muy Alta",AG82="Leve"),AND(AE82="Muy Alta",AG82="Menor"),AND(AE82="Muy Alta",AG82="Moderado"),AND(AE82="Muy Alta",AG82="Mayor")),"Alto",IF(OR(AND(AE82="Muy Baja",AG82="Catastrófico"),AND(AE82="Baja",AG82="Catastrófico"),AND(AE82="Media",AG82="Catastrófico"),AND(AE82="Alta",AG82="Catastrófico"),AND(AE82="Muy Alta",AG82="Catastrófico")),"Extremo","")))),"")</f>
        <v>Moderado</v>
      </c>
      <c r="AK81" s="248" t="s">
        <v>120</v>
      </c>
    </row>
    <row r="82" spans="1:80" ht="147.75" customHeight="1" x14ac:dyDescent="0.2">
      <c r="A82" s="685"/>
      <c r="B82" s="781"/>
      <c r="C82" s="784"/>
      <c r="D82" s="787"/>
      <c r="E82" s="659"/>
      <c r="F82" s="576"/>
      <c r="G82" s="654"/>
      <c r="H82" s="654"/>
      <c r="I82" s="654"/>
      <c r="J82" s="655"/>
      <c r="K82" s="595"/>
      <c r="L82" s="606"/>
      <c r="M82" s="566"/>
      <c r="N82" s="568"/>
      <c r="O82" s="708"/>
      <c r="P82" s="566"/>
      <c r="Q82" s="568"/>
      <c r="R82" s="564"/>
      <c r="S82" s="318">
        <v>3</v>
      </c>
      <c r="T82" s="267" t="s">
        <v>351</v>
      </c>
      <c r="U82" s="154" t="str">
        <f>IF(OR(V82="Preventivo",V82="Detectivo"),"Probabilidad",IF(V82="Correctivo","Impacto",""))</f>
        <v>Probabilidad</v>
      </c>
      <c r="V82" s="149" t="s">
        <v>12</v>
      </c>
      <c r="W82" s="149" t="s">
        <v>7</v>
      </c>
      <c r="X82" s="150" t="str">
        <f t="shared" si="27"/>
        <v>40%</v>
      </c>
      <c r="Y82" s="151" t="s">
        <v>17</v>
      </c>
      <c r="Z82" s="152" t="s">
        <v>20</v>
      </c>
      <c r="AA82" s="153" t="s">
        <v>105</v>
      </c>
      <c r="AB82" s="210"/>
      <c r="AC82" s="332" t="s">
        <v>518</v>
      </c>
      <c r="AD82" s="188">
        <v>0.6</v>
      </c>
      <c r="AE82" s="147" t="str">
        <f t="shared" si="28"/>
        <v>Media</v>
      </c>
      <c r="AF82" s="139">
        <f t="shared" si="25"/>
        <v>0.6</v>
      </c>
      <c r="AG82" s="143" t="str">
        <f t="shared" si="29"/>
        <v>Moderado</v>
      </c>
      <c r="AH82" s="155">
        <f>IFERROR(IF(AND(U81="Impacto",U82="Impacto"),(AH81-(+AH81*X82)),IF(U82="Impacto",(#REF!-(+#REF!*X82)),IF(U82="Probabilidad",AH81,""))),"")</f>
        <v>0.6</v>
      </c>
      <c r="AI82" s="213" t="str">
        <f t="shared" si="26"/>
        <v>Moderado</v>
      </c>
      <c r="AJ82" s="351" t="str">
        <f>IFERROR(IF(OR(AND(AE83="Muy Baja",AG83="Leve"),AND(AE83="Muy Baja",AG83="Menor"),AND(AE83="Baja",AG83="Leve")),"Bajo",IF(OR(AND(AE83="Muy baja",AG83="Moderado"),AND(AE83="Baja",AG83="Menor"),AND(AE83="Baja",AG83="Moderado"),AND(AE83="Media",AG83="Leve"),AND(AE83="Media",AG83="Menor"),AND(AE83="Media",AG83="Moderado"),AND(AE83="Alta",AG83="Leve"),AND(AE83="Alta",AG83="Menor")),"Moderado",IF(OR(AND(AE83="Muy Baja",AG83="Mayor"),AND(AE83="Baja",AG83="Mayor"),AND(AE83="Media",AG83="Mayor"),AND(AE83="Alta",AG83="Moderado"),AND(AE83="Alta",AG83="Mayor"),AND(AE83="Muy Alta",AG83="Leve"),AND(AE83="Muy Alta",AG83="Menor"),AND(AE83="Muy Alta",AG83="Moderado"),AND(AE83="Muy Alta",AG83="Mayor")),"Alto",IF(OR(AND(AE83="Muy Baja",AG83="Catastrófico"),AND(AE83="Baja",AG83="Catastrófico"),AND(AE83="Media",AG83="Catastrófico"),AND(AE83="Alta",AG83="Catastrófico"),AND(AE83="Muy Alta",AG83="Catastrófico")),"Extremo","")))),"")</f>
        <v>Moderado</v>
      </c>
      <c r="AK82" s="248" t="s">
        <v>120</v>
      </c>
    </row>
    <row r="83" spans="1:80" ht="127.5" customHeight="1" x14ac:dyDescent="0.2">
      <c r="A83" s="685"/>
      <c r="B83" s="782"/>
      <c r="C83" s="785"/>
      <c r="D83" s="788"/>
      <c r="E83" s="201">
        <v>37</v>
      </c>
      <c r="F83" s="263" t="s">
        <v>848</v>
      </c>
      <c r="G83" s="267" t="s">
        <v>483</v>
      </c>
      <c r="H83" s="263" t="s">
        <v>484</v>
      </c>
      <c r="I83" s="214" t="s">
        <v>213</v>
      </c>
      <c r="J83" s="214" t="s">
        <v>218</v>
      </c>
      <c r="K83" s="219" t="s">
        <v>199</v>
      </c>
      <c r="L83" s="216">
        <v>890</v>
      </c>
      <c r="M83" s="217" t="str">
        <f>IF(L84&lt;=0,"",IF(L84&lt;=2,"Muy Baja",IF(L84&lt;=24,"Baja",IF(L84&lt;=500,"Media",IF(L84&lt;=5000,"Alta","Muy Alta")))))</f>
        <v>Alta</v>
      </c>
      <c r="N83" s="214">
        <f>IF(M83="","",IF(M83="Muy Baja",0.2,IF(M83="Baja",0.4,IF(M83="Media",0.6,IF(M83="Alta",0.8,IF(M83="Muy Alta",1,))))))</f>
        <v>0.8</v>
      </c>
      <c r="O83" s="376" t="s">
        <v>85</v>
      </c>
      <c r="P83" s="217" t="str">
        <f>IF(OR(O83='6.Tabla Impacto'!$C$11,O83='6.Tabla Impacto'!$D$11),"Leve",IF(OR(O83='6.Tabla Impacto'!$C$12,O83='6.Tabla Impacto'!$D$12),"Menor",IF(OR(O83='6.Tabla Impacto'!$C$13,O83='6.Tabla Impacto'!$D$13),"Moderado",IF(OR(O83='6.Tabla Impacto'!$C$14,O83:O83='6.Tabla Impacto'!$D$14),"Mayor",IF(OR(O83='6.Tabla Impacto'!$C$15,O83='6.Tabla Impacto'!$D$15),"Catastrófico","")))))</f>
        <v>Moderado</v>
      </c>
      <c r="Q83" s="214">
        <f>IF(P83="","",IF(P83="Leve",0.2,IF(P83="Menor",0.4,IF(P83="Moderado",0.6,IF(P83="Mayor",0.8,IF(P83="Catastrófico",1,))))))</f>
        <v>0.6</v>
      </c>
      <c r="R83" s="215" t="s">
        <v>67</v>
      </c>
      <c r="S83" s="219">
        <v>1</v>
      </c>
      <c r="T83" s="364" t="s">
        <v>471</v>
      </c>
      <c r="U83" s="140" t="str">
        <f>IF(OR(V83="Preventivo",V83="Detectivo"),"Probabilidad",IF(V83="Correctivo","Impacto",""))</f>
        <v>Probabilidad</v>
      </c>
      <c r="V83" s="248" t="s">
        <v>12</v>
      </c>
      <c r="W83" s="248" t="s">
        <v>7</v>
      </c>
      <c r="X83" s="150" t="str">
        <f t="shared" si="27"/>
        <v>40%</v>
      </c>
      <c r="Y83" s="248" t="s">
        <v>17</v>
      </c>
      <c r="Z83" s="152" t="s">
        <v>20</v>
      </c>
      <c r="AA83" s="248" t="s">
        <v>105</v>
      </c>
      <c r="AB83" s="364"/>
      <c r="AC83" s="364" t="s">
        <v>519</v>
      </c>
      <c r="AD83" s="137">
        <v>0.6</v>
      </c>
      <c r="AE83" s="147" t="str">
        <f t="shared" si="28"/>
        <v>Media</v>
      </c>
      <c r="AF83" s="139">
        <f t="shared" si="25"/>
        <v>0.6</v>
      </c>
      <c r="AG83" s="143" t="str">
        <f t="shared" si="29"/>
        <v>Moderado</v>
      </c>
      <c r="AH83" s="139">
        <f>IFERROR(IF(U83="Impacto",(Q83-(+Q83*X83)),IF(U83="Probabilidad",Q83,"")),"")</f>
        <v>0.6</v>
      </c>
      <c r="AI83" s="213" t="str">
        <f t="shared" si="26"/>
        <v>Moderado</v>
      </c>
      <c r="AJ83" s="351" t="str">
        <f>IFERROR(IF(OR(AND(AE86="Muy Baja",AG86="Leve"),AND(AE86="Muy Baja",AG86="Menor"),AND(AE86="Baja",AG86="Leve")),"Bajo",IF(OR(AND(AE86="Muy baja",AG86="Moderado"),AND(AE86="Baja",AG86="Menor"),AND(AE86="Baja",AG86="Moderado"),AND(AE86="Media",AG86="Leve"),AND(AE86="Media",AG86="Menor"),AND(AE86="Media",AG86="Moderado"),AND(AE86="Alta",AG86="Leve"),AND(AE86="Alta",AG86="Menor")),"Moderado",IF(OR(AND(AE86="Muy Baja",AG86="Mayor"),AND(AE86="Baja",AG86="Mayor"),AND(AE86="Media",AG86="Mayor"),AND(AE86="Alta",AG86="Moderado"),AND(AE86="Alta",AG86="Mayor"),AND(AE86="Muy Alta",AG86="Leve"),AND(AE86="Muy Alta",AG86="Menor"),AND(AE86="Muy Alta",AG86="Moderado"),AND(AE86="Muy Alta",AG86="Mayor")),"Alto",IF(OR(AND(AE86="Muy Baja",AG86="Catastrófico"),AND(AE86="Baja",AG86="Catastrófico"),AND(AE86="Media",AG86="Catastrófico"),AND(AE86="Alta",AG86="Catastrófico"),AND(AE86="Muy Alta",AG86="Catastrófico")),"Extremo","")))),"")</f>
        <v>Moderado</v>
      </c>
      <c r="AK83" s="248" t="s">
        <v>120</v>
      </c>
    </row>
    <row r="84" spans="1:80" s="134" customFormat="1" ht="130.5" customHeight="1" x14ac:dyDescent="0.2">
      <c r="A84" s="685"/>
      <c r="B84" s="780">
        <v>14</v>
      </c>
      <c r="C84" s="783" t="s">
        <v>196</v>
      </c>
      <c r="D84" s="786" t="s">
        <v>203</v>
      </c>
      <c r="E84" s="658">
        <v>38</v>
      </c>
      <c r="F84" s="801" t="s">
        <v>849</v>
      </c>
      <c r="G84" s="653" t="s">
        <v>396</v>
      </c>
      <c r="H84" s="653" t="s">
        <v>397</v>
      </c>
      <c r="I84" s="567" t="s">
        <v>213</v>
      </c>
      <c r="J84" s="567" t="s">
        <v>227</v>
      </c>
      <c r="K84" s="594" t="s">
        <v>199</v>
      </c>
      <c r="L84" s="605">
        <v>542</v>
      </c>
      <c r="M84" s="565" t="s">
        <v>4</v>
      </c>
      <c r="N84" s="567">
        <f>IF(M84="","",IF(M84="Muy Baja",0.2,IF(M84="Baja",0.4,IF(M84="Media",0.6,IF(M84="Alta",0.8,IF(M84="Muy Alta",1,))))))</f>
        <v>0.8</v>
      </c>
      <c r="O84" s="707" t="s">
        <v>85</v>
      </c>
      <c r="P84" s="565" t="str">
        <f>IF(OR(O84='6.Tabla Impacto'!$C$11,O84='6.Tabla Impacto'!$D$11),"Leve",IF(OR(O84='6.Tabla Impacto'!$C$12,O84='6.Tabla Impacto'!$D$12),"Menor",IF(OR(O84='6.Tabla Impacto'!$C$13,O84='6.Tabla Impacto'!$D$13),"Moderado",IF(OR(O84='6.Tabla Impacto'!$C$14,O84:O84='6.Tabla Impacto'!$D$14),"Mayor",IF(OR(O84='6.Tabla Impacto'!$C$15,O84='6.Tabla Impacto'!$D$15),"Catastrófico","")))))</f>
        <v>Moderado</v>
      </c>
      <c r="Q84" s="567">
        <f>IF(P84="","",IF(P84="Leve",0.2,IF(P84="Menor",0.4,IF(P84="Moderado",0.6,IF(P84="Mayor",0.8,IF(P84="Catastrófico",1,))))))</f>
        <v>0.6</v>
      </c>
      <c r="R84" s="562" t="s">
        <v>67</v>
      </c>
      <c r="S84" s="219">
        <v>1</v>
      </c>
      <c r="T84" s="267" t="s">
        <v>352</v>
      </c>
      <c r="U84" s="140" t="str">
        <f>IF(OR(V84="Preventivo",V84="Detectivo"),"Probabilidad",IF(V84="Correctivo","Impacto",""))</f>
        <v>Probabilidad</v>
      </c>
      <c r="V84" s="248" t="s">
        <v>12</v>
      </c>
      <c r="W84" s="248" t="s">
        <v>7</v>
      </c>
      <c r="X84" s="150" t="str">
        <f t="shared" si="27"/>
        <v>40%</v>
      </c>
      <c r="Y84" s="248" t="s">
        <v>17</v>
      </c>
      <c r="Z84" s="248" t="s">
        <v>20</v>
      </c>
      <c r="AA84" s="248" t="s">
        <v>105</v>
      </c>
      <c r="AB84" s="246"/>
      <c r="AC84" s="364" t="s">
        <v>355</v>
      </c>
      <c r="AD84" s="188">
        <v>0.6</v>
      </c>
      <c r="AE84" s="147" t="str">
        <f t="shared" si="28"/>
        <v>Media</v>
      </c>
      <c r="AF84" s="139">
        <f t="shared" ref="AF84:AF101" si="30">+AD84</f>
        <v>0.6</v>
      </c>
      <c r="AG84" s="143" t="str">
        <f t="shared" si="29"/>
        <v>Moderado</v>
      </c>
      <c r="AH84" s="139">
        <f>IFERROR(IF(U84="Impacto",(Q84-(+Q84*X84)),IF(U84="Probabilidad",Q84,"")),"")</f>
        <v>0.6</v>
      </c>
      <c r="AI84" s="213" t="str">
        <f t="shared" si="26"/>
        <v>Moderado</v>
      </c>
      <c r="AJ84" s="351" t="s">
        <v>68</v>
      </c>
      <c r="AK84" s="248" t="s">
        <v>120</v>
      </c>
      <c r="AL84" s="234"/>
      <c r="AM84" s="234"/>
      <c r="AN84" s="234"/>
      <c r="AO84" s="234"/>
      <c r="AP84" s="234"/>
      <c r="AQ84" s="234"/>
      <c r="AR84" s="234"/>
      <c r="AS84" s="234"/>
      <c r="AT84" s="234"/>
      <c r="AU84" s="234"/>
      <c r="AV84" s="234"/>
      <c r="AW84" s="234"/>
      <c r="AX84" s="234"/>
      <c r="AY84" s="234"/>
      <c r="AZ84" s="234"/>
      <c r="BA84" s="234"/>
      <c r="BB84" s="234"/>
      <c r="BC84" s="234"/>
      <c r="BD84" s="234"/>
      <c r="BE84" s="234"/>
      <c r="BF84" s="234"/>
      <c r="BG84" s="234"/>
      <c r="BH84" s="234"/>
      <c r="BI84" s="234"/>
      <c r="BJ84" s="234"/>
      <c r="BK84" s="234"/>
      <c r="BL84" s="234"/>
      <c r="BM84" s="234"/>
      <c r="BN84" s="234"/>
      <c r="BO84" s="234"/>
      <c r="BP84" s="234"/>
      <c r="BQ84" s="234"/>
      <c r="BR84" s="234"/>
      <c r="BS84" s="234"/>
      <c r="BT84" s="234"/>
      <c r="BU84" s="234"/>
      <c r="BV84" s="234"/>
      <c r="BW84" s="234"/>
      <c r="BX84" s="234"/>
      <c r="BY84" s="234"/>
      <c r="BZ84" s="234"/>
      <c r="CA84" s="234"/>
      <c r="CB84" s="234"/>
    </row>
    <row r="85" spans="1:80" s="134" customFormat="1" ht="129.75" customHeight="1" x14ac:dyDescent="0.2">
      <c r="A85" s="685"/>
      <c r="B85" s="781"/>
      <c r="C85" s="784"/>
      <c r="D85" s="787"/>
      <c r="E85" s="692"/>
      <c r="F85" s="802"/>
      <c r="G85" s="661"/>
      <c r="H85" s="661"/>
      <c r="I85" s="571"/>
      <c r="J85" s="571"/>
      <c r="K85" s="609"/>
      <c r="L85" s="637"/>
      <c r="M85" s="572"/>
      <c r="N85" s="571"/>
      <c r="O85" s="743"/>
      <c r="P85" s="572"/>
      <c r="Q85" s="571"/>
      <c r="R85" s="563"/>
      <c r="S85" s="219">
        <v>2</v>
      </c>
      <c r="T85" s="267" t="s">
        <v>353</v>
      </c>
      <c r="U85" s="140" t="s">
        <v>2</v>
      </c>
      <c r="V85" s="248" t="s">
        <v>12</v>
      </c>
      <c r="W85" s="248" t="s">
        <v>7</v>
      </c>
      <c r="X85" s="150" t="str">
        <f t="shared" si="27"/>
        <v>40%</v>
      </c>
      <c r="Y85" s="248" t="s">
        <v>17</v>
      </c>
      <c r="Z85" s="248" t="s">
        <v>20</v>
      </c>
      <c r="AA85" s="248" t="s">
        <v>105</v>
      </c>
      <c r="AB85" s="246"/>
      <c r="AC85" s="364" t="s">
        <v>354</v>
      </c>
      <c r="AD85" s="188">
        <v>0.6</v>
      </c>
      <c r="AE85" s="147" t="str">
        <f t="shared" si="28"/>
        <v>Media</v>
      </c>
      <c r="AF85" s="139">
        <f t="shared" si="30"/>
        <v>0.6</v>
      </c>
      <c r="AG85" s="143" t="str">
        <f t="shared" si="29"/>
        <v>Moderado</v>
      </c>
      <c r="AH85" s="139">
        <v>0.6</v>
      </c>
      <c r="AI85" s="213" t="str">
        <f t="shared" si="26"/>
        <v>Moderado</v>
      </c>
      <c r="AJ85" s="351" t="s">
        <v>68</v>
      </c>
      <c r="AK85" s="248" t="s">
        <v>120</v>
      </c>
      <c r="AL85" s="234"/>
      <c r="AM85" s="234"/>
      <c r="AN85" s="234"/>
      <c r="AO85" s="234"/>
      <c r="AP85" s="234"/>
      <c r="AQ85" s="234"/>
      <c r="AR85" s="234"/>
      <c r="AS85" s="234"/>
      <c r="AT85" s="234"/>
      <c r="AU85" s="234"/>
      <c r="AV85" s="234"/>
      <c r="AW85" s="234"/>
      <c r="AX85" s="234"/>
      <c r="AY85" s="234"/>
      <c r="AZ85" s="234"/>
      <c r="BA85" s="234"/>
      <c r="BB85" s="234"/>
      <c r="BC85" s="234"/>
      <c r="BD85" s="234"/>
      <c r="BE85" s="234"/>
      <c r="BF85" s="234"/>
      <c r="BG85" s="234"/>
      <c r="BH85" s="234"/>
      <c r="BI85" s="234"/>
      <c r="BJ85" s="234"/>
      <c r="BK85" s="234"/>
      <c r="BL85" s="234"/>
      <c r="BM85" s="234"/>
      <c r="BN85" s="234"/>
      <c r="BO85" s="234"/>
      <c r="BP85" s="234"/>
      <c r="BQ85" s="234"/>
      <c r="BR85" s="234"/>
      <c r="BS85" s="234"/>
      <c r="BT85" s="234"/>
      <c r="BU85" s="234"/>
      <c r="BV85" s="234"/>
      <c r="BW85" s="234"/>
      <c r="BX85" s="234"/>
      <c r="BY85" s="234"/>
      <c r="BZ85" s="234"/>
      <c r="CA85" s="234"/>
      <c r="CB85" s="234"/>
    </row>
    <row r="86" spans="1:80" ht="96.75" customHeight="1" x14ac:dyDescent="0.2">
      <c r="A86" s="685"/>
      <c r="B86" s="781"/>
      <c r="C86" s="784"/>
      <c r="D86" s="787"/>
      <c r="E86" s="659"/>
      <c r="F86" s="803"/>
      <c r="G86" s="761"/>
      <c r="H86" s="654"/>
      <c r="I86" s="568"/>
      <c r="J86" s="568"/>
      <c r="K86" s="595"/>
      <c r="L86" s="606"/>
      <c r="M86" s="566"/>
      <c r="N86" s="568"/>
      <c r="O86" s="708"/>
      <c r="P86" s="566"/>
      <c r="Q86" s="568"/>
      <c r="R86" s="564"/>
      <c r="S86" s="219">
        <v>3</v>
      </c>
      <c r="T86" s="247" t="s">
        <v>521</v>
      </c>
      <c r="U86" s="140" t="s">
        <v>2</v>
      </c>
      <c r="V86" s="248" t="s">
        <v>12</v>
      </c>
      <c r="W86" s="248" t="s">
        <v>7</v>
      </c>
      <c r="X86" s="150" t="str">
        <f t="shared" si="27"/>
        <v>40%</v>
      </c>
      <c r="Y86" s="248" t="s">
        <v>17</v>
      </c>
      <c r="Z86" s="248" t="s">
        <v>20</v>
      </c>
      <c r="AA86" s="248" t="s">
        <v>105</v>
      </c>
      <c r="AB86" s="246"/>
      <c r="AC86" s="364" t="s">
        <v>522</v>
      </c>
      <c r="AD86" s="188">
        <v>0.6</v>
      </c>
      <c r="AE86" s="147" t="str">
        <f t="shared" si="28"/>
        <v>Media</v>
      </c>
      <c r="AF86" s="139">
        <f t="shared" si="30"/>
        <v>0.6</v>
      </c>
      <c r="AG86" s="143" t="str">
        <f t="shared" si="29"/>
        <v>Moderado</v>
      </c>
      <c r="AH86" s="155">
        <f>IFERROR(IF(AND(U83="Impacto",U86="Impacto"),(AH83-(+AH83*X86)),IF(U86="Impacto",(#REF!-(+#REF!*X86)),IF(U86="Probabilidad",AH83,""))),"")</f>
        <v>0.6</v>
      </c>
      <c r="AI86" s="213" t="str">
        <f t="shared" si="26"/>
        <v>Moderado</v>
      </c>
      <c r="AJ86" s="351" t="s">
        <v>68</v>
      </c>
      <c r="AK86" s="248" t="s">
        <v>120</v>
      </c>
    </row>
    <row r="87" spans="1:80" s="134" customFormat="1" ht="204" customHeight="1" x14ac:dyDescent="0.2">
      <c r="A87" s="685"/>
      <c r="B87" s="781"/>
      <c r="C87" s="784"/>
      <c r="D87" s="787"/>
      <c r="E87" s="658">
        <v>39</v>
      </c>
      <c r="F87" s="804" t="s">
        <v>415</v>
      </c>
      <c r="G87" s="750" t="s">
        <v>417</v>
      </c>
      <c r="H87" s="653" t="s">
        <v>416</v>
      </c>
      <c r="I87" s="567" t="s">
        <v>214</v>
      </c>
      <c r="J87" s="567" t="s">
        <v>221</v>
      </c>
      <c r="K87" s="594" t="s">
        <v>199</v>
      </c>
      <c r="L87" s="605">
        <v>2456</v>
      </c>
      <c r="M87" s="565" t="str">
        <f>IF(L87&lt;=0,"",IF(L87&lt;=2,"Muy Baja",IF(L87&lt;=24,"Baja",IF(L87&lt;=500,"Media",IF(L87&lt;=5000,"Alta","Muy Alta")))))</f>
        <v>Alta</v>
      </c>
      <c r="N87" s="567">
        <f>IF(M87="","",IF(M87="Muy Baja",0.2,IF(M87="Baja",0.4,IF(M87="Media",0.6,IF(M87="Alta",0.8,IF(M87="Muy Alta",1,))))))</f>
        <v>0.8</v>
      </c>
      <c r="O87" s="707" t="s">
        <v>132</v>
      </c>
      <c r="P87" s="565" t="str">
        <f>IF(OR(O87='6.Tabla Impacto'!$C$11,O87='6.Tabla Impacto'!$D$11),"Leve",IF(OR(O87='6.Tabla Impacto'!$C$12,O87='6.Tabla Impacto'!$D$12),"Menor",IF(OR(O87='6.Tabla Impacto'!$C$13,O87='6.Tabla Impacto'!$D$13),"Moderado",IF(OR(O87='6.Tabla Impacto'!$C$14,O87:O87='6.Tabla Impacto'!$D$14),"Mayor",IF(OR(O87='6.Tabla Impacto'!$C$15,O87='6.Tabla Impacto'!$D$15),"Catastrófico","")))))</f>
        <v>Moderado</v>
      </c>
      <c r="Q87" s="567">
        <f>IF(P87="","",IF(P87="Leve",0.2,IF(P87="Menor",0.4,IF(P87="Moderado",0.6,IF(P87="Mayor",0.8,IF(P87="Catastrófico",1,))))))</f>
        <v>0.6</v>
      </c>
      <c r="R87" s="562" t="str">
        <f>IF(OR(AND(M87="Muy Baja",P87="Leve"),AND(M87="Muy Baja",P87="Menor"),AND(M87="Baja",P87="Leve")),"Bajo",IF(OR(AND(M87="Muy baja",P87="Moderado"),AND(M87="Baja",P87="Menor"),AND(M87="Baja",P87="Moderado"),AND(M87="Media",P87="Leve"),AND(M87="Media",P87="Menor"),AND(M87="Media",P87="Moderado"),AND(M87="Alta",P87="Leve"),AND(M87="Alta",P87="Menor")),"Moderado",IF(OR(AND(M87="Muy Baja",P87="Mayor"),AND(M87="Baja",P87="Mayor"),AND(M87="Media",P87="Mayor"),AND(M87="Alta",P87="Moderado"),AND(M87="Alta",P87="Mayor"),AND(M87="Muy Alta",P87="Leve"),AND(M87="Muy Alta",P87="Menor"),AND(M87="Muy Alta",P87="Moderado"),AND(M87="Muy Alta",P87="Mayor")),"Alto",IF(OR(AND(M87="Muy Baja",P87="Catastrófico"),AND(M87="Baja",P87="Catastrófico"),AND(M87="Media",P87="Catastrófico"),AND(M87="Alta",P87="Catastrófico"),AND(M87="Muy Alta",P87="Catastrófico")),"Extremo",""))))</f>
        <v>Alto</v>
      </c>
      <c r="S87" s="219">
        <v>1</v>
      </c>
      <c r="T87" s="247" t="s">
        <v>520</v>
      </c>
      <c r="U87" s="140" t="s">
        <v>2</v>
      </c>
      <c r="V87" s="248" t="s">
        <v>12</v>
      </c>
      <c r="W87" s="248" t="s">
        <v>7</v>
      </c>
      <c r="X87" s="150" t="str">
        <f t="shared" si="27"/>
        <v>40%</v>
      </c>
      <c r="Y87" s="248" t="s">
        <v>17</v>
      </c>
      <c r="Z87" s="248" t="s">
        <v>20</v>
      </c>
      <c r="AA87" s="248" t="s">
        <v>105</v>
      </c>
      <c r="AB87" s="246"/>
      <c r="AC87" s="364" t="s">
        <v>523</v>
      </c>
      <c r="AD87" s="188">
        <v>0.6</v>
      </c>
      <c r="AE87" s="147" t="str">
        <f t="shared" si="28"/>
        <v>Media</v>
      </c>
      <c r="AF87" s="139">
        <f t="shared" si="30"/>
        <v>0.6</v>
      </c>
      <c r="AG87" s="143" t="str">
        <f t="shared" si="29"/>
        <v>Moderado</v>
      </c>
      <c r="AH87" s="155">
        <f>IFERROR(IF(AND(U84="Impacto",U87="Impacto"),(AH84-(+AH84*X87)),IF(U87="Impacto",(#REF!-(+#REF!*X87)),IF(U87="Probabilidad",AH84,""))),"")</f>
        <v>0.6</v>
      </c>
      <c r="AI87" s="213" t="str">
        <f t="shared" si="26"/>
        <v>Moderado</v>
      </c>
      <c r="AJ87" s="351" t="s">
        <v>68</v>
      </c>
      <c r="AK87" s="248" t="s">
        <v>120</v>
      </c>
      <c r="AL87" s="234"/>
      <c r="AM87" s="234"/>
      <c r="AN87" s="234"/>
      <c r="AO87" s="234"/>
      <c r="AP87" s="234"/>
      <c r="AQ87" s="234"/>
      <c r="AR87" s="234"/>
      <c r="AS87" s="234"/>
      <c r="AT87" s="234"/>
      <c r="AU87" s="234"/>
      <c r="AV87" s="234"/>
      <c r="AW87" s="234"/>
      <c r="AX87" s="234"/>
      <c r="AY87" s="234"/>
      <c r="AZ87" s="234"/>
      <c r="BA87" s="234"/>
      <c r="BB87" s="234"/>
      <c r="BC87" s="234"/>
      <c r="BD87" s="234"/>
      <c r="BE87" s="234"/>
      <c r="BF87" s="234"/>
      <c r="BG87" s="234"/>
      <c r="BH87" s="234"/>
      <c r="BI87" s="234"/>
      <c r="BJ87" s="234"/>
      <c r="BK87" s="234"/>
      <c r="BL87" s="234"/>
      <c r="BM87" s="234"/>
      <c r="BN87" s="234"/>
      <c r="BO87" s="234"/>
      <c r="BP87" s="234"/>
      <c r="BQ87" s="234"/>
      <c r="BR87" s="234"/>
      <c r="BS87" s="234"/>
      <c r="BT87" s="234"/>
      <c r="BU87" s="234"/>
      <c r="BV87" s="234"/>
      <c r="BW87" s="234"/>
      <c r="BX87" s="234"/>
      <c r="BY87" s="234"/>
      <c r="BZ87" s="234"/>
      <c r="CA87" s="234"/>
      <c r="CB87" s="234"/>
    </row>
    <row r="88" spans="1:80" ht="96" customHeight="1" x14ac:dyDescent="0.2">
      <c r="A88" s="685"/>
      <c r="B88" s="781"/>
      <c r="C88" s="784"/>
      <c r="D88" s="787"/>
      <c r="E88" s="659"/>
      <c r="F88" s="805"/>
      <c r="G88" s="769"/>
      <c r="H88" s="654"/>
      <c r="I88" s="568"/>
      <c r="J88" s="568"/>
      <c r="K88" s="595"/>
      <c r="L88" s="606"/>
      <c r="M88" s="566"/>
      <c r="N88" s="568"/>
      <c r="O88" s="708"/>
      <c r="P88" s="566"/>
      <c r="Q88" s="568"/>
      <c r="R88" s="564"/>
      <c r="S88" s="219">
        <v>2</v>
      </c>
      <c r="T88" s="259" t="s">
        <v>945</v>
      </c>
      <c r="U88" s="140" t="str">
        <f>IF(OR(V88="Preventivo",V88="Detectivo"),"Probabilidad",IF(V88="Correctivo","Impacto",""))</f>
        <v>Probabilidad</v>
      </c>
      <c r="V88" s="248" t="s">
        <v>12</v>
      </c>
      <c r="W88" s="248" t="s">
        <v>7</v>
      </c>
      <c r="X88" s="150" t="str">
        <f t="shared" si="27"/>
        <v>40%</v>
      </c>
      <c r="Y88" s="248" t="s">
        <v>17</v>
      </c>
      <c r="Z88" s="248" t="s">
        <v>20</v>
      </c>
      <c r="AA88" s="248" t="s">
        <v>105</v>
      </c>
      <c r="AB88" s="246"/>
      <c r="AC88" s="364" t="s">
        <v>359</v>
      </c>
      <c r="AD88" s="141">
        <v>0.6</v>
      </c>
      <c r="AE88" s="143" t="str">
        <f t="shared" si="28"/>
        <v>Media</v>
      </c>
      <c r="AF88" s="323">
        <f t="shared" si="30"/>
        <v>0.6</v>
      </c>
      <c r="AG88" s="342" t="str">
        <f t="shared" ref="AG88:AG95" si="31">IFERROR(IF(AH88="","",IF(AH88&lt;=0.2,"Leve",IF(AH88&lt;=0.4,"Menor",IF(AH88&lt;=0.6,"Moderado",IF(AH88&lt;=0.8,"Mayor","Catastrófico"))))),"")</f>
        <v>Moderado</v>
      </c>
      <c r="AH88" s="323">
        <f>IFERROR(IF(U88="Impacto",(Q87-(+Q87*X88)),IF(U88="Probabilidad",Q87,"")),"")</f>
        <v>0.6</v>
      </c>
      <c r="AI88" s="213" t="str">
        <f t="shared" si="26"/>
        <v>Moderado</v>
      </c>
      <c r="AJ88" s="213" t="str">
        <f>$AI$88</f>
        <v>Moderado</v>
      </c>
      <c r="AK88" s="248" t="s">
        <v>120</v>
      </c>
    </row>
    <row r="89" spans="1:80" s="134" customFormat="1" ht="171" customHeight="1" x14ac:dyDescent="0.2">
      <c r="A89" s="685"/>
      <c r="B89" s="781"/>
      <c r="C89" s="784"/>
      <c r="D89" s="787"/>
      <c r="E89" s="658">
        <v>40</v>
      </c>
      <c r="F89" s="575" t="s">
        <v>850</v>
      </c>
      <c r="G89" s="768" t="s">
        <v>280</v>
      </c>
      <c r="H89" s="575" t="s">
        <v>281</v>
      </c>
      <c r="I89" s="653" t="s">
        <v>213</v>
      </c>
      <c r="J89" s="592" t="s">
        <v>218</v>
      </c>
      <c r="K89" s="594" t="s">
        <v>199</v>
      </c>
      <c r="L89" s="605">
        <v>1245</v>
      </c>
      <c r="M89" s="565" t="str">
        <f>IF(L89&lt;=0,"",IF(L89&lt;=2,"Muy Baja",IF(L89&lt;=24,"Baja",IF(L89&lt;=500,"Media",IF(L89&lt;=5000,"Alta","Muy Alta")))))</f>
        <v>Alta</v>
      </c>
      <c r="N89" s="567">
        <f>IF(M89="","",IF(M89="Muy Baja",0.2,IF(M89="Baja",0.4,IF(M89="Media",0.6,IF(M89="Alta",0.8,IF(M89="Muy Alta",1,))))))</f>
        <v>0.8</v>
      </c>
      <c r="O89" s="707" t="s">
        <v>132</v>
      </c>
      <c r="P89" s="565" t="str">
        <f>IF(OR(O89='6.Tabla Impacto'!$C$11,O89='6.Tabla Impacto'!$D$11),"Leve",IF(OR(O89='6.Tabla Impacto'!$C$12,O89='6.Tabla Impacto'!$D$12),"Menor",IF(OR(O89='6.Tabla Impacto'!$C$13,O89='6.Tabla Impacto'!$D$13),"Moderado",IF(OR(O89='6.Tabla Impacto'!$C$14,O89:O89='6.Tabla Impacto'!$D$14),"Mayor",IF(OR(O89='6.Tabla Impacto'!$C$15,O89='6.Tabla Impacto'!$D$15),"Catastrófico","")))))</f>
        <v>Moderado</v>
      </c>
      <c r="Q89" s="603">
        <f>IF(P89="","",IF(P89="Leve",0.2,IF(P89="Menor",0.4,IF(P89="Moderado",0.6,IF(P89="Mayor",0.8,IF(P89="Catastrófico",1,))))))</f>
        <v>0.6</v>
      </c>
      <c r="R89" s="562" t="str">
        <f>IF(OR(AND(M89="Muy Baja",P89="Leve"),AND(M89="Muy Baja",P89="Menor"),AND(M89="Baja",P89="Leve")),"Bajo",IF(OR(AND(M89="Muy baja",P89="Moderado"),AND(M89="Baja",P89="Menor"),AND(M89="Baja",P89="Moderado"),AND(M89="Media",P89="Leve"),AND(M89="Media",P89="Menor"),AND(M89="Media",P89="Moderado"),AND(M89="Alta",P89="Leve"),AND(M89="Alta",P89="Menor")),"Moderado",IF(OR(AND(M89="Muy Baja",P89="Mayor"),AND(M89="Baja",P89="Mayor"),AND(M89="Media",P89="Mayor"),AND(M89="Alta",P89="Moderado"),AND(M89="Alta",P89="Mayor"),AND(M89="Muy Alta",P89="Leve"),AND(M89="Muy Alta",P89="Menor"),AND(M89="Muy Alta",P89="Moderado"),AND(M89="Muy Alta",P89="Mayor")),"Alto",IF(OR(AND(M89="Muy Baja",P89="Catastrófico"),AND(M89="Baja",P89="Catastrófico"),AND(M89="Media",P89="Catastrófico"),AND(M89="Alta",P89="Catastrófico"),AND(M89="Muy Alta",P89="Catastrófico")),"Extremo",""))))</f>
        <v>Alto</v>
      </c>
      <c r="S89" s="318">
        <v>1</v>
      </c>
      <c r="T89" s="259" t="s">
        <v>946</v>
      </c>
      <c r="U89" s="140" t="s">
        <v>2</v>
      </c>
      <c r="V89" s="248" t="s">
        <v>12</v>
      </c>
      <c r="W89" s="248" t="s">
        <v>7</v>
      </c>
      <c r="X89" s="150" t="str">
        <f t="shared" si="27"/>
        <v>40%</v>
      </c>
      <c r="Y89" s="248" t="s">
        <v>17</v>
      </c>
      <c r="Z89" s="248" t="s">
        <v>20</v>
      </c>
      <c r="AA89" s="248" t="s">
        <v>105</v>
      </c>
      <c r="AB89" s="246"/>
      <c r="AC89" s="317" t="s">
        <v>356</v>
      </c>
      <c r="AD89" s="141">
        <v>0.6</v>
      </c>
      <c r="AE89" s="143" t="str">
        <f t="shared" si="28"/>
        <v>Media</v>
      </c>
      <c r="AF89" s="323">
        <v>0.6</v>
      </c>
      <c r="AG89" s="342" t="str">
        <f t="shared" si="31"/>
        <v>Moderado</v>
      </c>
      <c r="AH89" s="323">
        <v>0.6</v>
      </c>
      <c r="AI89" s="213" t="str">
        <f t="shared" si="26"/>
        <v>Moderado</v>
      </c>
      <c r="AJ89" s="213" t="str">
        <f>$AI$88</f>
        <v>Moderado</v>
      </c>
      <c r="AK89" s="248" t="s">
        <v>120</v>
      </c>
      <c r="AL89" s="234"/>
      <c r="AM89" s="234"/>
      <c r="AN89" s="234"/>
      <c r="AO89" s="234"/>
      <c r="AP89" s="234"/>
      <c r="AQ89" s="234"/>
      <c r="AR89" s="234"/>
      <c r="AS89" s="234"/>
      <c r="AT89" s="234"/>
      <c r="AU89" s="234"/>
      <c r="AV89" s="234"/>
      <c r="AW89" s="234"/>
      <c r="AX89" s="234"/>
      <c r="AY89" s="234"/>
      <c r="AZ89" s="234"/>
      <c r="BA89" s="234"/>
      <c r="BB89" s="234"/>
      <c r="BC89" s="234"/>
      <c r="BD89" s="234"/>
      <c r="BE89" s="234"/>
      <c r="BF89" s="234"/>
      <c r="BG89" s="234"/>
      <c r="BH89" s="234"/>
      <c r="BI89" s="234"/>
      <c r="BJ89" s="234"/>
      <c r="BK89" s="234"/>
      <c r="BL89" s="234"/>
      <c r="BM89" s="234"/>
      <c r="BN89" s="234"/>
      <c r="BO89" s="234"/>
      <c r="BP89" s="234"/>
      <c r="BQ89" s="234"/>
      <c r="BR89" s="234"/>
      <c r="BS89" s="234"/>
      <c r="BT89" s="234"/>
      <c r="BU89" s="234"/>
      <c r="BV89" s="234"/>
      <c r="BW89" s="234"/>
      <c r="BX89" s="234"/>
      <c r="BY89" s="234"/>
      <c r="BZ89" s="234"/>
      <c r="CA89" s="234"/>
      <c r="CB89" s="234"/>
    </row>
    <row r="90" spans="1:80" s="134" customFormat="1" ht="120" customHeight="1" x14ac:dyDescent="0.2">
      <c r="A90" s="685"/>
      <c r="B90" s="781"/>
      <c r="C90" s="784"/>
      <c r="D90" s="787"/>
      <c r="E90" s="659"/>
      <c r="F90" s="576"/>
      <c r="G90" s="576"/>
      <c r="H90" s="576"/>
      <c r="I90" s="654"/>
      <c r="J90" s="655"/>
      <c r="K90" s="595"/>
      <c r="L90" s="606"/>
      <c r="M90" s="566"/>
      <c r="N90" s="568"/>
      <c r="O90" s="708"/>
      <c r="P90" s="566"/>
      <c r="Q90" s="634"/>
      <c r="R90" s="564"/>
      <c r="S90" s="318">
        <v>2</v>
      </c>
      <c r="T90" s="259" t="s">
        <v>947</v>
      </c>
      <c r="U90" s="140" t="s">
        <v>2</v>
      </c>
      <c r="V90" s="248" t="s">
        <v>12</v>
      </c>
      <c r="W90" s="248" t="s">
        <v>7</v>
      </c>
      <c r="X90" s="150" t="str">
        <f t="shared" si="27"/>
        <v>40%</v>
      </c>
      <c r="Y90" s="248" t="s">
        <v>17</v>
      </c>
      <c r="Z90" s="248" t="s">
        <v>20</v>
      </c>
      <c r="AA90" s="248" t="s">
        <v>105</v>
      </c>
      <c r="AB90" s="246"/>
      <c r="AC90" s="364" t="s">
        <v>359</v>
      </c>
      <c r="AD90" s="141">
        <v>0.6</v>
      </c>
      <c r="AE90" s="143" t="str">
        <f t="shared" si="28"/>
        <v>Media</v>
      </c>
      <c r="AF90" s="323">
        <f t="shared" si="30"/>
        <v>0.6</v>
      </c>
      <c r="AG90" s="342" t="str">
        <f t="shared" si="31"/>
        <v>Moderado</v>
      </c>
      <c r="AH90" s="323">
        <f>IFERROR(IF(U90="Impacto",(Q89-(+Q89*X90)),IF(U90="Probabilidad",Q89,"")),"")</f>
        <v>0.6</v>
      </c>
      <c r="AI90" s="213" t="str">
        <f t="shared" si="26"/>
        <v>Moderado</v>
      </c>
      <c r="AJ90" s="213" t="str">
        <f>$AI$88</f>
        <v>Moderado</v>
      </c>
      <c r="AK90" s="248" t="s">
        <v>120</v>
      </c>
      <c r="AL90" s="234"/>
      <c r="AM90" s="234"/>
      <c r="AN90" s="234"/>
      <c r="AO90" s="234"/>
      <c r="AP90" s="234"/>
      <c r="AQ90" s="234"/>
      <c r="AR90" s="234"/>
      <c r="AS90" s="234"/>
      <c r="AT90" s="234"/>
      <c r="AU90" s="234"/>
      <c r="AV90" s="234"/>
      <c r="AW90" s="234"/>
      <c r="AX90" s="234"/>
      <c r="AY90" s="234"/>
      <c r="AZ90" s="234"/>
      <c r="BA90" s="234"/>
      <c r="BB90" s="234"/>
      <c r="BC90" s="234"/>
      <c r="BD90" s="234"/>
      <c r="BE90" s="234"/>
      <c r="BF90" s="234"/>
      <c r="BG90" s="234"/>
      <c r="BH90" s="234"/>
      <c r="BI90" s="234"/>
      <c r="BJ90" s="234"/>
      <c r="BK90" s="234"/>
      <c r="BL90" s="234"/>
      <c r="BM90" s="234"/>
      <c r="BN90" s="234"/>
      <c r="BO90" s="234"/>
      <c r="BP90" s="234"/>
      <c r="BQ90" s="234"/>
      <c r="BR90" s="234"/>
      <c r="BS90" s="234"/>
      <c r="BT90" s="234"/>
      <c r="BU90" s="234"/>
      <c r="BV90" s="234"/>
      <c r="BW90" s="234"/>
      <c r="BX90" s="234"/>
      <c r="BY90" s="234"/>
      <c r="BZ90" s="234"/>
      <c r="CA90" s="234"/>
      <c r="CB90" s="234"/>
    </row>
    <row r="91" spans="1:80" s="134" customFormat="1" ht="159.75" customHeight="1" x14ac:dyDescent="0.2">
      <c r="A91" s="685"/>
      <c r="B91" s="781"/>
      <c r="C91" s="784"/>
      <c r="D91" s="787"/>
      <c r="E91" s="658">
        <v>41</v>
      </c>
      <c r="F91" s="575" t="s">
        <v>851</v>
      </c>
      <c r="G91" s="575" t="s">
        <v>485</v>
      </c>
      <c r="H91" s="575" t="s">
        <v>424</v>
      </c>
      <c r="I91" s="653" t="s">
        <v>214</v>
      </c>
      <c r="J91" s="592" t="s">
        <v>231</v>
      </c>
      <c r="K91" s="594" t="s">
        <v>199</v>
      </c>
      <c r="L91" s="605">
        <v>1245</v>
      </c>
      <c r="M91" s="565" t="str">
        <f>IF(L91&lt;=0,"",IF(L91&lt;=2,"Muy Baja",IF(L91&lt;=24,"Baja",IF(L91&lt;=500,"Media",IF(L91&lt;=5000,"Alta","Muy Alta")))))</f>
        <v>Alta</v>
      </c>
      <c r="N91" s="567">
        <f>IF(M91="","",IF(M91="Muy Baja",0.2,IF(M91="Baja",0.4,IF(M91="Media",0.6,IF(M91="Alta",0.8,IF(M91="Muy Alta",1,))))))</f>
        <v>0.8</v>
      </c>
      <c r="O91" s="707" t="s">
        <v>85</v>
      </c>
      <c r="P91" s="565" t="s">
        <v>68</v>
      </c>
      <c r="Q91" s="567">
        <f>IF(P91="","",IF(P91="Leve",0.2,IF(P91="Menor",0.4,IF(P91="Moderado",0.6,IF(P91="Mayor",0.8,IF(P91="Catastrófico",1,))))))</f>
        <v>0.6</v>
      </c>
      <c r="R91" s="562" t="str">
        <f>IF(OR(AND(M91="Muy Baja",P91="Leve"),AND(M91="Muy Baja",P91="Menor"),AND(M91="Baja",P91="Leve")),"Bajo",IF(OR(AND(M91="Muy baja",P91="Moderado"),AND(M91="Baja",P91="Menor"),AND(M91="Baja",P91="Moderado"),AND(M91="Media",P91="Leve"),AND(M91="Media",P91="Menor"),AND(M91="Media",P91="Moderado"),AND(M91="Alta",P91="Leve"),AND(M91="Alta",P91="Menor")),"Moderado",IF(OR(AND(M91="Muy Baja",P91="Mayor"),AND(M91="Baja",P91="Mayor"),AND(M91="Media",P91="Mayor"),AND(M91="Alta",P91="Moderado"),AND(M91="Alta",P91="Mayor"),AND(M91="Muy Alta",P91="Leve"),AND(M91="Muy Alta",P91="Menor"),AND(M91="Muy Alta",P91="Moderado"),AND(M91="Muy Alta",P91="Mayor")),"Alto",IF(OR(AND(M91="Muy Baja",P91="Catastrófico"),AND(M91="Baja",P91="Catastrófico"),AND(M91="Media",P91="Catastrófico"),AND(M91="Alta",P91="Catastrófico"),AND(M91="Muy Alta",P91="Catastrófico")),"Extremo",""))))</f>
        <v>Alto</v>
      </c>
      <c r="S91" s="318">
        <v>1</v>
      </c>
      <c r="T91" s="247" t="s">
        <v>486</v>
      </c>
      <c r="U91" s="140" t="s">
        <v>2</v>
      </c>
      <c r="V91" s="248" t="s">
        <v>12</v>
      </c>
      <c r="W91" s="248" t="s">
        <v>7</v>
      </c>
      <c r="X91" s="150" t="str">
        <f t="shared" si="27"/>
        <v>40%</v>
      </c>
      <c r="Y91" s="248" t="s">
        <v>17</v>
      </c>
      <c r="Z91" s="248" t="s">
        <v>20</v>
      </c>
      <c r="AA91" s="248" t="s">
        <v>105</v>
      </c>
      <c r="AB91" s="246"/>
      <c r="AC91" s="317" t="s">
        <v>524</v>
      </c>
      <c r="AD91" s="141">
        <v>0.6</v>
      </c>
      <c r="AE91" s="143" t="str">
        <f t="shared" si="28"/>
        <v>Media</v>
      </c>
      <c r="AF91" s="323">
        <f t="shared" si="30"/>
        <v>0.6</v>
      </c>
      <c r="AG91" s="342" t="str">
        <f t="shared" si="31"/>
        <v>Moderado</v>
      </c>
      <c r="AH91" s="323">
        <v>0.6</v>
      </c>
      <c r="AI91" s="213" t="str">
        <f t="shared" si="26"/>
        <v>Moderado</v>
      </c>
      <c r="AJ91" s="213" t="str">
        <f>$AI$88</f>
        <v>Moderado</v>
      </c>
      <c r="AK91" s="248" t="s">
        <v>120</v>
      </c>
      <c r="AL91" s="234"/>
      <c r="AM91" s="234"/>
      <c r="AN91" s="234"/>
      <c r="AO91" s="234"/>
      <c r="AP91" s="234"/>
      <c r="AQ91" s="234"/>
      <c r="AR91" s="234"/>
      <c r="AS91" s="234"/>
      <c r="AT91" s="234"/>
      <c r="AU91" s="234"/>
      <c r="AV91" s="234"/>
      <c r="AW91" s="234"/>
      <c r="AX91" s="234"/>
      <c r="AY91" s="234"/>
      <c r="AZ91" s="234"/>
      <c r="BA91" s="234"/>
      <c r="BB91" s="234"/>
      <c r="BC91" s="234"/>
      <c r="BD91" s="234"/>
      <c r="BE91" s="234"/>
      <c r="BF91" s="234"/>
      <c r="BG91" s="234"/>
      <c r="BH91" s="234"/>
      <c r="BI91" s="234"/>
      <c r="BJ91" s="234"/>
      <c r="BK91" s="234"/>
      <c r="BL91" s="234"/>
      <c r="BM91" s="234"/>
      <c r="BN91" s="234"/>
      <c r="BO91" s="234"/>
      <c r="BP91" s="234"/>
      <c r="BQ91" s="234"/>
      <c r="BR91" s="234"/>
      <c r="BS91" s="234"/>
      <c r="BT91" s="234"/>
      <c r="BU91" s="234"/>
      <c r="BV91" s="234"/>
      <c r="BW91" s="234"/>
      <c r="BX91" s="234"/>
      <c r="BY91" s="234"/>
      <c r="BZ91" s="234"/>
      <c r="CA91" s="234"/>
      <c r="CB91" s="234"/>
    </row>
    <row r="92" spans="1:80" ht="141" customHeight="1" x14ac:dyDescent="0.2">
      <c r="A92" s="685"/>
      <c r="B92" s="782"/>
      <c r="C92" s="785"/>
      <c r="D92" s="788"/>
      <c r="E92" s="659"/>
      <c r="F92" s="576"/>
      <c r="G92" s="576"/>
      <c r="H92" s="576"/>
      <c r="I92" s="654"/>
      <c r="J92" s="655"/>
      <c r="K92" s="595"/>
      <c r="L92" s="606"/>
      <c r="M92" s="566"/>
      <c r="N92" s="568"/>
      <c r="O92" s="708"/>
      <c r="P92" s="566"/>
      <c r="Q92" s="568"/>
      <c r="R92" s="564"/>
      <c r="S92" s="318">
        <v>2</v>
      </c>
      <c r="T92" s="247" t="s">
        <v>487</v>
      </c>
      <c r="U92" s="140" t="s">
        <v>2</v>
      </c>
      <c r="V92" s="248" t="s">
        <v>12</v>
      </c>
      <c r="W92" s="248" t="s">
        <v>7</v>
      </c>
      <c r="X92" s="150" t="str">
        <f t="shared" si="27"/>
        <v>40%</v>
      </c>
      <c r="Y92" s="248" t="s">
        <v>17</v>
      </c>
      <c r="Z92" s="248" t="s">
        <v>20</v>
      </c>
      <c r="AA92" s="248" t="s">
        <v>105</v>
      </c>
      <c r="AB92" s="246"/>
      <c r="AC92" s="364" t="s">
        <v>525</v>
      </c>
      <c r="AD92" s="141">
        <v>0.6</v>
      </c>
      <c r="AE92" s="143" t="str">
        <f t="shared" si="28"/>
        <v>Media</v>
      </c>
      <c r="AF92" s="139">
        <f t="shared" si="30"/>
        <v>0.6</v>
      </c>
      <c r="AG92" s="143" t="str">
        <f t="shared" si="31"/>
        <v>Moderado</v>
      </c>
      <c r="AH92" s="139">
        <f>IFERROR(IF(U92="Impacto",(Q91-(+Q91*X92)),IF(U92="Probabilidad",Q91,"")),"")</f>
        <v>0.6</v>
      </c>
      <c r="AI92" s="213" t="str">
        <f t="shared" si="26"/>
        <v>Moderado</v>
      </c>
      <c r="AJ92" s="213" t="str">
        <f>$AI$92</f>
        <v>Moderado</v>
      </c>
      <c r="AK92" s="248" t="s">
        <v>120</v>
      </c>
    </row>
    <row r="93" spans="1:80" ht="255.75" customHeight="1" x14ac:dyDescent="0.2">
      <c r="A93" s="685"/>
      <c r="B93" s="780">
        <v>15</v>
      </c>
      <c r="C93" s="783" t="s">
        <v>282</v>
      </c>
      <c r="D93" s="786" t="s">
        <v>203</v>
      </c>
      <c r="E93" s="658">
        <v>42</v>
      </c>
      <c r="F93" s="592" t="s">
        <v>852</v>
      </c>
      <c r="G93" s="592" t="s">
        <v>283</v>
      </c>
      <c r="H93" s="653" t="s">
        <v>284</v>
      </c>
      <c r="I93" s="653" t="s">
        <v>213</v>
      </c>
      <c r="J93" s="592" t="s">
        <v>227</v>
      </c>
      <c r="K93" s="594" t="s">
        <v>199</v>
      </c>
      <c r="L93" s="605">
        <v>16800</v>
      </c>
      <c r="M93" s="565" t="str">
        <f>IF(L93&lt;=0,"",IF(L93&lt;=2,"Muy Baja",IF(L93&lt;=24,"Baja",IF(L93&lt;=500,"Media",IF(L93&lt;=5000,"Alta","Muy Alta")))))</f>
        <v>Muy Alta</v>
      </c>
      <c r="N93" s="567">
        <f>IF(M93="","",IF(M93="Muy Baja",0.2,IF(M93="Baja",0.4,IF(M93="Media",0.6,IF(M93="Alta",0.8,IF(M93="Muy Alta",1,))))))</f>
        <v>1</v>
      </c>
      <c r="O93" s="707" t="s">
        <v>104</v>
      </c>
      <c r="P93" s="565" t="s">
        <v>5</v>
      </c>
      <c r="Q93" s="567">
        <f>IF(P93="","",IF(P93="Leve",0.2,IF(P93="Menor",0.4,IF(P93="Moderado",0.6,IF(P93="Mayor",0.8,IF(P93="Catastrófico",1,))))))</f>
        <v>0.8</v>
      </c>
      <c r="R93" s="562" t="str">
        <f>IF(OR(AND(M93="Muy Baja",P93="Leve"),AND(M93="Muy Baja",P93="Menor"),AND(M93="Baja",P93="Leve")),"Bajo",IF(OR(AND(M93="Muy baja",P93="Moderado"),AND(M93="Baja",P93="Menor"),AND(M93="Baja",P93="Moderado"),AND(M93="Media",P93="Leve"),AND(M93="Media",P93="Menor"),AND(M93="Media",P93="Moderado"),AND(M93="Alta",P93="Leve"),AND(M93="Alta",P93="Menor")),"Moderado",IF(OR(AND(M93="Muy Baja",P93="Mayor"),AND(M93="Baja",P93="Mayor"),AND(M93="Media",P93="Mayor"),AND(M93="Alta",P93="Moderado"),AND(M93="Alta",P93="Mayor"),AND(M93="Muy Alta",P93="Leve"),AND(M93="Muy Alta",P93="Menor"),AND(M93="Muy Alta",P93="Moderado"),AND(M93="Muy Alta",P93="Mayor")),"Alto",IF(OR(AND(M93="Muy Baja",P93="Catastrófico"),AND(M93="Baja",P93="Catastrófico"),AND(M93="Media",P93="Catastrófico"),AND(M93="Alta",P93="Catastrófico"),AND(M93="Muy Alta",P93="Catastrófico")),"Extremo",""))))</f>
        <v>Alto</v>
      </c>
      <c r="S93" s="219">
        <v>1</v>
      </c>
      <c r="T93" s="267" t="s">
        <v>488</v>
      </c>
      <c r="U93" s="140" t="s">
        <v>1</v>
      </c>
      <c r="V93" s="248" t="s">
        <v>12</v>
      </c>
      <c r="W93" s="248" t="s">
        <v>7</v>
      </c>
      <c r="X93" s="150" t="str">
        <f t="shared" si="27"/>
        <v>40%</v>
      </c>
      <c r="Y93" s="151" t="s">
        <v>17</v>
      </c>
      <c r="Z93" s="152" t="s">
        <v>20</v>
      </c>
      <c r="AA93" s="153" t="s">
        <v>105</v>
      </c>
      <c r="AB93" s="210"/>
      <c r="AC93" s="332" t="s">
        <v>526</v>
      </c>
      <c r="AD93" s="141">
        <v>0.6</v>
      </c>
      <c r="AE93" s="138" t="str">
        <f t="shared" si="28"/>
        <v>Media</v>
      </c>
      <c r="AF93" s="325">
        <f t="shared" si="30"/>
        <v>0.6</v>
      </c>
      <c r="AG93" s="343" t="str">
        <f t="shared" si="31"/>
        <v>Moderado</v>
      </c>
      <c r="AH93" s="139">
        <v>0.6</v>
      </c>
      <c r="AI93" s="352" t="str">
        <f t="shared" si="26"/>
        <v>Moderado</v>
      </c>
      <c r="AJ93" s="213" t="str">
        <f>$AI$92</f>
        <v>Moderado</v>
      </c>
      <c r="AK93" s="248" t="s">
        <v>120</v>
      </c>
    </row>
    <row r="94" spans="1:80" ht="219" customHeight="1" x14ac:dyDescent="0.2">
      <c r="A94" s="685"/>
      <c r="B94" s="781"/>
      <c r="C94" s="784"/>
      <c r="D94" s="787"/>
      <c r="E94" s="692"/>
      <c r="F94" s="647"/>
      <c r="G94" s="647"/>
      <c r="H94" s="661"/>
      <c r="I94" s="661"/>
      <c r="J94" s="647"/>
      <c r="K94" s="609"/>
      <c r="L94" s="637"/>
      <c r="M94" s="572"/>
      <c r="N94" s="571"/>
      <c r="O94" s="743"/>
      <c r="P94" s="572"/>
      <c r="Q94" s="571"/>
      <c r="R94" s="563"/>
      <c r="S94" s="219">
        <v>2</v>
      </c>
      <c r="T94" s="267" t="s">
        <v>363</v>
      </c>
      <c r="U94" s="140" t="s">
        <v>1</v>
      </c>
      <c r="V94" s="248" t="s">
        <v>12</v>
      </c>
      <c r="W94" s="248" t="s">
        <v>7</v>
      </c>
      <c r="X94" s="150" t="str">
        <f t="shared" si="27"/>
        <v>40%</v>
      </c>
      <c r="Y94" s="151" t="s">
        <v>17</v>
      </c>
      <c r="Z94" s="152" t="s">
        <v>20</v>
      </c>
      <c r="AA94" s="153" t="s">
        <v>105</v>
      </c>
      <c r="AB94" s="210"/>
      <c r="AC94" s="332" t="s">
        <v>694</v>
      </c>
      <c r="AD94" s="141">
        <v>0.6</v>
      </c>
      <c r="AE94" s="147" t="str">
        <f t="shared" si="28"/>
        <v>Media</v>
      </c>
      <c r="AF94" s="139">
        <f t="shared" si="30"/>
        <v>0.6</v>
      </c>
      <c r="AG94" s="343" t="str">
        <f t="shared" si="31"/>
        <v>Moderado</v>
      </c>
      <c r="AH94" s="325">
        <v>0.6</v>
      </c>
      <c r="AI94" s="213" t="str">
        <f t="shared" si="26"/>
        <v>Moderado</v>
      </c>
      <c r="AJ94" s="213" t="str">
        <f>$AI$92</f>
        <v>Moderado</v>
      </c>
      <c r="AK94" s="248" t="s">
        <v>120</v>
      </c>
    </row>
    <row r="95" spans="1:80" ht="183.75" customHeight="1" x14ac:dyDescent="0.2">
      <c r="A95" s="685"/>
      <c r="B95" s="782"/>
      <c r="C95" s="785"/>
      <c r="D95" s="788"/>
      <c r="E95" s="659"/>
      <c r="F95" s="655"/>
      <c r="G95" s="655"/>
      <c r="H95" s="654"/>
      <c r="I95" s="654"/>
      <c r="J95" s="655"/>
      <c r="K95" s="595"/>
      <c r="L95" s="606"/>
      <c r="M95" s="566"/>
      <c r="N95" s="568"/>
      <c r="O95" s="708"/>
      <c r="P95" s="566"/>
      <c r="Q95" s="568"/>
      <c r="R95" s="564"/>
      <c r="S95" s="156">
        <v>3</v>
      </c>
      <c r="T95" s="267" t="s">
        <v>364</v>
      </c>
      <c r="U95" s="157" t="s">
        <v>1</v>
      </c>
      <c r="V95" s="322" t="s">
        <v>12</v>
      </c>
      <c r="W95" s="322" t="s">
        <v>7</v>
      </c>
      <c r="X95" s="150" t="str">
        <f t="shared" si="27"/>
        <v>40%</v>
      </c>
      <c r="Y95" s="151" t="s">
        <v>17</v>
      </c>
      <c r="Z95" s="152" t="s">
        <v>20</v>
      </c>
      <c r="AA95" s="153" t="s">
        <v>106</v>
      </c>
      <c r="AB95" s="210"/>
      <c r="AC95" s="332" t="s">
        <v>527</v>
      </c>
      <c r="AD95" s="141">
        <v>0.6</v>
      </c>
      <c r="AE95" s="147" t="str">
        <f t="shared" si="28"/>
        <v>Media</v>
      </c>
      <c r="AF95" s="139">
        <f t="shared" si="30"/>
        <v>0.6</v>
      </c>
      <c r="AG95" s="143" t="str">
        <f t="shared" si="31"/>
        <v>Moderado</v>
      </c>
      <c r="AH95" s="325">
        <v>0.6</v>
      </c>
      <c r="AI95" s="213" t="str">
        <f t="shared" si="26"/>
        <v>Moderado</v>
      </c>
      <c r="AJ95" s="351" t="str">
        <f>IFERROR(IF(OR(AND(AE96="Muy Baja",AG96="Leve"),AND(AE96="Muy Baja",AG96="Menor"),AND(AE96="Baja",AG96="Leve")),"Bajo",IF(OR(AND(AE96="Muy baja",AG96="Moderado"),AND(AE96="Baja",AG96="Menor"),AND(AE96="Baja",AG96="Moderado"),AND(AE96="Media",AG96="Leve"),AND(AE96="Media",AG96="Menor"),AND(AE96="Media",AG96="Moderado"),AND(AE96="Alta",AG96="Leve"),AND(AE96="Alta",AG96="Menor")),"Moderado",IF(OR(AND(AE96="Muy Baja",AG96="Mayor"),AND(AE96="Baja",AG96="Mayor"),AND(AE96="Media",AG96="Mayor"),AND(AE96="Alta",AG96="Moderado"),AND(AE96="Alta",AG96="Mayor"),AND(AE96="Muy Alta",AG96="Leve"),AND(AE96="Muy Alta",AG96="Menor"),AND(AE96="Muy Alta",AG96="Moderado"),AND(AE96="Muy Alta",AG96="Mayor")),"Alto",IF(OR(AND(AE96="Muy Baja",AG96="Catastrófico"),AND(AE96="Baja",AG96="Catastrófico"),AND(AE96="Media",AG96="Catastrófico"),AND(AE96="Alta",AG96="Catastrófico"),AND(AE96="Muy Alta",AG96="Catastrófico")),"Extremo","")))),"")</f>
        <v>Moderado</v>
      </c>
      <c r="AK95" s="248" t="s">
        <v>119</v>
      </c>
    </row>
    <row r="96" spans="1:80" ht="177.75" customHeight="1" x14ac:dyDescent="0.2">
      <c r="A96" s="681" t="s">
        <v>533</v>
      </c>
      <c r="B96" s="780">
        <v>16</v>
      </c>
      <c r="C96" s="783" t="s">
        <v>290</v>
      </c>
      <c r="D96" s="648" t="s">
        <v>289</v>
      </c>
      <c r="E96" s="658">
        <v>43</v>
      </c>
      <c r="F96" s="575" t="s">
        <v>853</v>
      </c>
      <c r="G96" s="653" t="s">
        <v>285</v>
      </c>
      <c r="H96" s="653" t="s">
        <v>286</v>
      </c>
      <c r="I96" s="653" t="s">
        <v>213</v>
      </c>
      <c r="J96" s="592" t="s">
        <v>231</v>
      </c>
      <c r="K96" s="567" t="s">
        <v>210</v>
      </c>
      <c r="L96" s="605">
        <v>90</v>
      </c>
      <c r="M96" s="565" t="str">
        <f>IF(L96&lt;=0,"",IF(L96&lt;=2,"Muy Baja",IF(L96&lt;=24,"Baja",IF(L96&lt;=500,"Media",IF(L96&lt;=5000,"Alta","Muy Alta")))))</f>
        <v>Media</v>
      </c>
      <c r="N96" s="567">
        <f>IF(M96="","",IF(M96="Muy Baja",0.2,IF(M96="Baja",0.4,IF(M96="Media",0.6,IF(M96="Alta",0.8,IF(M96="Muy Alta",1,))))))</f>
        <v>0.6</v>
      </c>
      <c r="O96" s="707" t="s">
        <v>132</v>
      </c>
      <c r="P96" s="565" t="s">
        <v>68</v>
      </c>
      <c r="Q96" s="567">
        <f>IF(P96="","",IF(P96="Leve",0.2,IF(P96="Menor",0.4,IF(P96="Moderado",0.6,IF(P96="Mayor",0.8,IF(P96="Catastrófico",1,))))))</f>
        <v>0.6</v>
      </c>
      <c r="R96" s="562" t="str">
        <f>IF(OR(AND(M96="Muy Baja",P96="Leve"),AND(M96="Muy Baja",P96="Menor"),AND(M96="Baja",P96="Leve")),"Bajo",IF(OR(AND(M96="Muy baja",P96="Moderado"),AND(M96="Baja",P96="Menor"),AND(M96="Baja",P96="Moderado"),AND(M96="Media",P96="Leve"),AND(M96="Media",P96="Menor"),AND(M96="Media",P96="Moderado"),AND(M96="Alta",P96="Leve"),AND(M96="Alta",P96="Menor")),"Moderado",IF(OR(AND(M96="Muy Baja",P96="Mayor"),AND(M96="Baja",P96="Mayor"),AND(M96="Media",P96="Mayor"),AND(M96="Alta",P96="Moderado"),AND(M96="Alta",P96="Mayor"),AND(M96="Muy Alta",P96="Leve"),AND(M96="Muy Alta",P96="Menor"),AND(M96="Muy Alta",P96="Moderado"),AND(M96="Muy Alta",P96="Mayor")),"Alto",IF(OR(AND(M96="Muy Baja",P96="Catastrófico"),AND(M96="Baja",P96="Catastrófico"),AND(M96="Media",P96="Catastrófico"),AND(M96="Alta",P96="Catastrófico"),AND(M96="Muy Alta",P96="Catastrófico")),"Extremo",""))))</f>
        <v>Moderado</v>
      </c>
      <c r="S96" s="158">
        <v>1</v>
      </c>
      <c r="T96" s="267" t="s">
        <v>365</v>
      </c>
      <c r="U96" s="159" t="str">
        <f>IF(OR(V96="Preventivo",V96="Detectivo"),"Probabilidad",IF(V96="Correctivo","Impacto",""))</f>
        <v>Probabilidad</v>
      </c>
      <c r="V96" s="149" t="s">
        <v>12</v>
      </c>
      <c r="W96" s="149" t="s">
        <v>7</v>
      </c>
      <c r="X96" s="150" t="str">
        <f t="shared" si="27"/>
        <v>40%</v>
      </c>
      <c r="Y96" s="151" t="s">
        <v>18</v>
      </c>
      <c r="Z96" s="152" t="s">
        <v>20</v>
      </c>
      <c r="AA96" s="153" t="s">
        <v>105</v>
      </c>
      <c r="AB96" s="210"/>
      <c r="AC96" s="332" t="s">
        <v>582</v>
      </c>
      <c r="AD96" s="141">
        <v>0.6</v>
      </c>
      <c r="AE96" s="147" t="str">
        <f t="shared" si="28"/>
        <v>Media</v>
      </c>
      <c r="AF96" s="139">
        <f t="shared" si="30"/>
        <v>0.6</v>
      </c>
      <c r="AG96" s="143" t="str">
        <f t="shared" ref="AG96:AG101" si="32">IFERROR(IF(AH96="","",IF(AH96&lt;=0.2,"Leve",IF(AH96&lt;=0.4,"Menor",IF(AH96&lt;=0.6,"Moderado",IF(AH96&lt;=0.8,"Mayor","Catastrófico"))))),"")</f>
        <v>Moderado</v>
      </c>
      <c r="AH96" s="155">
        <f>IFERROR(IF(AND(U95="Impacto",U96="Impacto"),(AH95-(+AH95*X96)),IF(U96="Impacto",(#REF!-(+#REF!*X96)),IF(U96="Probabilidad",AH95,""))),"")</f>
        <v>0.6</v>
      </c>
      <c r="AI96" s="213" t="str">
        <f t="shared" si="26"/>
        <v>Moderado</v>
      </c>
      <c r="AJ96" s="351" t="str">
        <f>IFERROR(IF(OR(AND(AE97="Muy Baja",AG97="Leve"),AND(AE97="Muy Baja",AG97="Menor"),AND(AE97="Baja",AG97="Leve")),"Bajo",IF(OR(AND(AE97="Muy baja",AG97="Moderado"),AND(AE97="Baja",AG97="Menor"),AND(AE97="Baja",AG97="Moderado"),AND(AE97="Media",AG97="Leve"),AND(AE97="Media",AG97="Menor"),AND(AE97="Media",AG97="Moderado"),AND(AE97="Alta",AG97="Leve"),AND(AE97="Alta",AG97="Menor")),"Moderado",IF(OR(AND(AE97="Muy Baja",AG97="Mayor"),AND(AE97="Baja",AG97="Mayor"),AND(AE97="Media",AG97="Mayor"),AND(AE97="Alta",AG97="Moderado"),AND(AE97="Alta",AG97="Mayor"),AND(AE97="Muy Alta",AG97="Leve"),AND(AE97="Muy Alta",AG97="Menor"),AND(AE97="Muy Alta",AG97="Moderado"),AND(AE97="Muy Alta",AG97="Mayor")),"Alto",IF(OR(AND(AE97="Muy Baja",AG97="Catastrófico"),AND(AE97="Baja",AG97="Catastrófico"),AND(AE97="Media",AG97="Catastrófico"),AND(AE97="Alta",AG97="Catastrófico"),AND(AE97="Muy Alta",AG97="Catastrófico")),"Extremo","")))),"")</f>
        <v>Moderado</v>
      </c>
      <c r="AK96" s="321" t="s">
        <v>119</v>
      </c>
    </row>
    <row r="97" spans="1:80" ht="229.5" customHeight="1" x14ac:dyDescent="0.2">
      <c r="A97" s="682"/>
      <c r="B97" s="781"/>
      <c r="C97" s="784"/>
      <c r="D97" s="798"/>
      <c r="E97" s="659"/>
      <c r="F97" s="576"/>
      <c r="G97" s="654"/>
      <c r="H97" s="654"/>
      <c r="I97" s="654"/>
      <c r="J97" s="655"/>
      <c r="K97" s="568"/>
      <c r="L97" s="731"/>
      <c r="M97" s="566"/>
      <c r="N97" s="568"/>
      <c r="O97" s="708"/>
      <c r="P97" s="566"/>
      <c r="Q97" s="738"/>
      <c r="R97" s="564"/>
      <c r="S97" s="158">
        <v>2</v>
      </c>
      <c r="T97" s="267" t="s">
        <v>583</v>
      </c>
      <c r="U97" s="159" t="str">
        <f>IF(OR(V97="Preventivo",V97="Detectivo"),"Probabilidad",IF(V97="Correctivo","Impacto",""))</f>
        <v>Probabilidad</v>
      </c>
      <c r="V97" s="149" t="s">
        <v>12</v>
      </c>
      <c r="W97" s="149" t="s">
        <v>7</v>
      </c>
      <c r="X97" s="150" t="str">
        <f t="shared" si="27"/>
        <v>40%</v>
      </c>
      <c r="Y97" s="151" t="s">
        <v>17</v>
      </c>
      <c r="Z97" s="152" t="s">
        <v>20</v>
      </c>
      <c r="AA97" s="153" t="s">
        <v>105</v>
      </c>
      <c r="AB97" s="210"/>
      <c r="AC97" s="332" t="s">
        <v>581</v>
      </c>
      <c r="AD97" s="141">
        <v>0.6</v>
      </c>
      <c r="AE97" s="147" t="str">
        <f t="shared" si="28"/>
        <v>Media</v>
      </c>
      <c r="AF97" s="139">
        <f t="shared" si="30"/>
        <v>0.6</v>
      </c>
      <c r="AG97" s="143" t="str">
        <f t="shared" si="32"/>
        <v>Moderado</v>
      </c>
      <c r="AH97" s="155">
        <f>IFERROR(IF(AND(U96="Impacto",U97="Impacto"),(AH96-(+AH96*X97)),IF(U97="Impacto",(#REF!-(+#REF!*X97)),IF(U97="Probabilidad",AH96,""))),"")</f>
        <v>0.6</v>
      </c>
      <c r="AI97" s="213" t="str">
        <f t="shared" si="26"/>
        <v>Moderado</v>
      </c>
      <c r="AJ97" s="213" t="str">
        <f>$AI$97</f>
        <v>Moderado</v>
      </c>
      <c r="AK97" s="321" t="s">
        <v>119</v>
      </c>
    </row>
    <row r="98" spans="1:80" ht="183" customHeight="1" x14ac:dyDescent="0.2">
      <c r="A98" s="682"/>
      <c r="B98" s="781"/>
      <c r="C98" s="784"/>
      <c r="D98" s="799" t="s">
        <v>297</v>
      </c>
      <c r="E98" s="658">
        <v>44</v>
      </c>
      <c r="F98" s="575" t="s">
        <v>854</v>
      </c>
      <c r="G98" s="653" t="s">
        <v>291</v>
      </c>
      <c r="H98" s="653" t="s">
        <v>292</v>
      </c>
      <c r="I98" s="653" t="s">
        <v>214</v>
      </c>
      <c r="J98" s="592" t="s">
        <v>231</v>
      </c>
      <c r="K98" s="756" t="s">
        <v>199</v>
      </c>
      <c r="L98" s="766">
        <v>1100</v>
      </c>
      <c r="M98" s="565" t="str">
        <f>IF(L98&lt;=0,"",IF(L98&lt;=2,"Muy Baja",IF(L98&lt;=24,"Baja",IF(L98&lt;=500,"Media",IF(L98&lt;=5000,"Alta","Muy Alta")))))</f>
        <v>Alta</v>
      </c>
      <c r="N98" s="690">
        <f>IF(M98="","",IF(M98="Muy Baja",0.2,IF(M98="Baja",0.4,IF(M98="Media",0.6,IF(M98="Alta",0.8,IF(M98="Muy Alta",1,))))))</f>
        <v>0.8</v>
      </c>
      <c r="O98" s="645" t="s">
        <v>133</v>
      </c>
      <c r="P98" s="733" t="s">
        <v>5</v>
      </c>
      <c r="Q98" s="584">
        <f>IF(P98="","",IF(P98="Leve",0.2,IF(P98="Menor",0.4,IF(P98="Moderado",0.6,IF(P98="Mayor",0.8,IF(P98="Catastrófico",1,))))))</f>
        <v>0.8</v>
      </c>
      <c r="R98" s="735" t="str">
        <f>IF(OR(AND(M98="Muy Baja",P98="Leve"),AND(M98="Muy Baja",P98="Menor"),AND(M98="Baja",P98="Leve")),"Bajo",IF(OR(AND(M98="Muy baja",P98="Moderado"),AND(M98="Baja",P98="Menor"),AND(M98="Baja",P98="Moderado"),AND(M98="Media",P98="Leve"),AND(M98="Media",P98="Menor"),AND(M98="Media",P98="Moderado"),AND(M98="Alta",P98="Leve"),AND(M98="Alta",P98="Menor")),"Moderado",IF(OR(AND(M98="Muy Baja",P98="Mayor"),AND(M98="Baja",P98="Mayor"),AND(M98="Media",P98="Mayor"),AND(M98="Alta",P98="Moderado"),AND(M98="Alta",P98="Mayor"),AND(M98="Muy Alta",P98="Leve"),AND(M98="Muy Alta",P98="Menor"),AND(M98="Muy Alta",P98="Moderado"),AND(M98="Muy Alta",P98="Mayor")),"Alto",IF(OR(AND(M98="Muy Baja",P98="Catastrófico"),AND(M98="Baja",P98="Catastrófico"),AND(M98="Media",P98="Catastrófico"),AND(M98="Alta",P98="Catastrófico"),AND(M98="Muy Alta",P98="Catastrófico")),"Extremo",""))))</f>
        <v>Alto</v>
      </c>
      <c r="S98" s="161">
        <v>1</v>
      </c>
      <c r="T98" s="267" t="s">
        <v>366</v>
      </c>
      <c r="U98" s="159" t="str">
        <f>IF(OR(V98="Preventivo",V98="Detectivo"),"Probabilidad",IF(V98="Correctivo","Impacto",""))</f>
        <v>Probabilidad</v>
      </c>
      <c r="V98" s="149" t="s">
        <v>12</v>
      </c>
      <c r="W98" s="149" t="s">
        <v>7</v>
      </c>
      <c r="X98" s="150" t="str">
        <f t="shared" si="27"/>
        <v>40%</v>
      </c>
      <c r="Y98" s="151" t="s">
        <v>18</v>
      </c>
      <c r="Z98" s="152" t="s">
        <v>20</v>
      </c>
      <c r="AA98" s="153" t="s">
        <v>105</v>
      </c>
      <c r="AB98" s="264"/>
      <c r="AC98" s="332" t="s">
        <v>370</v>
      </c>
      <c r="AD98" s="141">
        <v>0.6</v>
      </c>
      <c r="AE98" s="147" t="str">
        <f t="shared" si="28"/>
        <v>Media</v>
      </c>
      <c r="AF98" s="139">
        <f t="shared" si="30"/>
        <v>0.6</v>
      </c>
      <c r="AG98" s="143" t="str">
        <f t="shared" si="32"/>
        <v>Mayor</v>
      </c>
      <c r="AH98" s="139">
        <f>IFERROR(IF(U98="Impacto",(Q98-(+Q98*X98)),IF(U98="Probabilidad",Q98,"")),"")</f>
        <v>0.8</v>
      </c>
      <c r="AI98" s="213" t="str">
        <f t="shared" si="26"/>
        <v>Alto</v>
      </c>
      <c r="AJ98" s="213" t="str">
        <f>$AI$98</f>
        <v>Alto</v>
      </c>
      <c r="AK98" s="321" t="s">
        <v>119</v>
      </c>
    </row>
    <row r="99" spans="1:80" ht="220.5" customHeight="1" x14ac:dyDescent="0.2">
      <c r="A99" s="682"/>
      <c r="B99" s="781"/>
      <c r="C99" s="784"/>
      <c r="D99" s="649"/>
      <c r="E99" s="659"/>
      <c r="F99" s="576"/>
      <c r="G99" s="654"/>
      <c r="H99" s="654"/>
      <c r="I99" s="654"/>
      <c r="J99" s="593"/>
      <c r="K99" s="757"/>
      <c r="L99" s="767"/>
      <c r="M99" s="566"/>
      <c r="N99" s="691"/>
      <c r="O99" s="646"/>
      <c r="P99" s="734"/>
      <c r="Q99" s="705"/>
      <c r="R99" s="736"/>
      <c r="S99" s="161">
        <v>2</v>
      </c>
      <c r="T99" s="267" t="s">
        <v>367</v>
      </c>
      <c r="U99" s="159" t="str">
        <f>IF(OR(V99="Preventivo",V99="Detectivo"),"Probabilidad",IF(V99="Correctivo","Impacto",""))</f>
        <v>Probabilidad</v>
      </c>
      <c r="V99" s="149" t="s">
        <v>12</v>
      </c>
      <c r="W99" s="149" t="s">
        <v>7</v>
      </c>
      <c r="X99" s="150" t="str">
        <f t="shared" si="27"/>
        <v>40%</v>
      </c>
      <c r="Y99" s="151" t="s">
        <v>18</v>
      </c>
      <c r="Z99" s="152" t="s">
        <v>20</v>
      </c>
      <c r="AA99" s="153" t="s">
        <v>105</v>
      </c>
      <c r="AB99" s="264"/>
      <c r="AC99" s="332" t="s">
        <v>588</v>
      </c>
      <c r="AD99" s="141">
        <v>0.6</v>
      </c>
      <c r="AE99" s="147" t="str">
        <f t="shared" si="28"/>
        <v>Media</v>
      </c>
      <c r="AF99" s="139">
        <f t="shared" si="30"/>
        <v>0.6</v>
      </c>
      <c r="AG99" s="143" t="s">
        <v>5</v>
      </c>
      <c r="AH99" s="139">
        <f>IFERROR(IF(U99="Impacto",(Q99-(+Q99*X99)),IF(U99="Probabilidad",Q99,"")),"")</f>
        <v>0</v>
      </c>
      <c r="AI99" s="213" t="str">
        <f t="shared" si="26"/>
        <v>Alto</v>
      </c>
      <c r="AJ99" s="213" t="str">
        <f>$AI$99</f>
        <v>Alto</v>
      </c>
      <c r="AK99" s="321" t="s">
        <v>119</v>
      </c>
    </row>
    <row r="100" spans="1:80" ht="218.25" customHeight="1" x14ac:dyDescent="0.2">
      <c r="A100" s="682"/>
      <c r="B100" s="781"/>
      <c r="C100" s="784"/>
      <c r="D100" s="649"/>
      <c r="E100" s="658">
        <v>45</v>
      </c>
      <c r="F100" s="575" t="s">
        <v>855</v>
      </c>
      <c r="G100" s="653" t="s">
        <v>293</v>
      </c>
      <c r="H100" s="653" t="s">
        <v>294</v>
      </c>
      <c r="I100" s="653" t="s">
        <v>214</v>
      </c>
      <c r="J100" s="686" t="s">
        <v>226</v>
      </c>
      <c r="K100" s="594" t="s">
        <v>199</v>
      </c>
      <c r="L100" s="730">
        <v>1100</v>
      </c>
      <c r="M100" s="565" t="str">
        <f>IF(L100&lt;=0,"",IF(L100&lt;=2,"Muy Baja",IF(L100&lt;=24,"Baja",IF(L100&lt;=500,"Media",IF(L100&lt;=5000,"Alta","Muy Alta")))))</f>
        <v>Alta</v>
      </c>
      <c r="N100" s="699">
        <f>IF(M100="","",IF(M100="Muy Baja",0.2,IF(M100="Baja",0.4,IF(M100="Media",0.6,IF(M100="Alta",0.8,IF(M100="Muy Alta",1,))))))</f>
        <v>0.8</v>
      </c>
      <c r="O100" s="584" t="s">
        <v>133</v>
      </c>
      <c r="P100" s="852" t="str">
        <f>IF(OR(O100='6.Tabla Impacto'!$C$11,O100='6.Tabla Impacto'!$D$11),"Leve",IF(OR(O100='6.Tabla Impacto'!$C$12,O100='6.Tabla Impacto'!$D$12),"Menor",IF(OR(O100='6.Tabla Impacto'!$C$13,O100='6.Tabla Impacto'!$D$13),"Moderado",IF(OR(O100='6.Tabla Impacto'!$C$14,O100='6.Tabla Impacto'!$D$14),"Mayor",IF(OR(O100='6.Tabla Impacto'!$C$15,O100='6.Tabla Impacto'!$D$15),"Catastrófico","")))))</f>
        <v>Mayor</v>
      </c>
      <c r="Q100" s="737">
        <f>IF(P100="","",IF(P100="Leve",0.2,IF(P100="Menor",0.4,IF(P100="Moderado",0.6,IF(P100="Mayor",0.8,IF(P100="Catastrófico",1,))))))</f>
        <v>0.8</v>
      </c>
      <c r="R100" s="569" t="str">
        <f>IF(OR(AND(M100="Muy Baja",P100="Leve"),AND(M100="Muy Baja",P100="Menor"),AND(M100="Baja",P100="Leve")),"Bajo",IF(OR(AND(M100="Muy baja",P100="Moderado"),AND(M100="Baja",P100="Menor"),AND(M100="Baja",P100="Moderado"),AND(M100="Media",P100="Leve"),AND(M100="Media",P100="Menor"),AND(M100="Media",P100="Moderado"),AND(M100="Alta",P100="Leve"),AND(M100="Alta",P100="Menor")),"Moderado",IF(OR(AND(M100="Muy Baja",P100="Mayor"),AND(M100="Baja",P100="Mayor"),AND(M100="Media",P100="Mayor"),AND(M100="Alta",P100="Moderado"),AND(M100="Alta",P100="Mayor"),AND(M100="Muy Alta",P100="Leve"),AND(M100="Muy Alta",P100="Menor"),AND(M100="Muy Alta",P100="Moderado"),AND(M100="Muy Alta",P100="Mayor")),"Alto",IF(OR(AND(M100="Muy Baja",P100="Catastrófico"),AND(M100="Baja",P100="Catastrófico"),AND(M100="Media",P100="Catastrófico"),AND(M100="Alta",P100="Catastrófico"),AND(M100="Muy Alta",P100="Catastrófico")),"Extremo",""))))</f>
        <v>Alto</v>
      </c>
      <c r="S100" s="319">
        <v>1</v>
      </c>
      <c r="T100" s="267" t="s">
        <v>368</v>
      </c>
      <c r="U100" s="315" t="str">
        <f t="shared" ref="U100:U107" si="33">IF(OR(V100="Preventivo",V100="Detectivo"),"Probabilidad",IF(V100="Correctivo","Impacto",""))</f>
        <v>Probabilidad</v>
      </c>
      <c r="V100" s="322" t="s">
        <v>12</v>
      </c>
      <c r="W100" s="322" t="s">
        <v>7</v>
      </c>
      <c r="X100" s="325" t="str">
        <f t="shared" si="27"/>
        <v>40%</v>
      </c>
      <c r="Y100" s="338" t="s">
        <v>17</v>
      </c>
      <c r="Z100" s="339" t="s">
        <v>20</v>
      </c>
      <c r="AA100" s="136" t="s">
        <v>105</v>
      </c>
      <c r="AB100" s="264"/>
      <c r="AC100" s="332" t="s">
        <v>714</v>
      </c>
      <c r="AD100" s="141">
        <v>0.6</v>
      </c>
      <c r="AE100" s="138" t="str">
        <f t="shared" si="28"/>
        <v>Media</v>
      </c>
      <c r="AF100" s="325">
        <f t="shared" si="30"/>
        <v>0.6</v>
      </c>
      <c r="AG100" s="343" t="str">
        <f t="shared" si="32"/>
        <v>Mayor</v>
      </c>
      <c r="AH100" s="325">
        <f>IFERROR(IF(U100="Impacto",(Q100-(+Q100*X100)),IF(U100="Probabilidad",Q100,"")),"")</f>
        <v>0.8</v>
      </c>
      <c r="AI100" s="352" t="str">
        <f t="shared" si="26"/>
        <v>Alto</v>
      </c>
      <c r="AJ100" s="213" t="str">
        <f>IFERROR(IF(OR(AND(AE101="Muy Baja",AG101="Leve"),AND(AE101="Muy Baja",AG101="Menor"),AND(AE101="Baja",AG101="Leve")),"Bajo",IF(OR(AND(AE101="Muy baja",AG101="Moderado"),AND(AE101="Baja",AG101="Menor"),AND(AE101="Baja",AG101="Moderado"),AND(AE101="Media",AG101="Leve"),AND(AE101="Media",AG101="Menor"),AND(AE101="Media",AG101="Moderado"),AND(AE101="Alta",AG101="Leve"),AND(AE101="Alta",AG101="Menor")),"Moderado",IF(OR(AND(AE101="Muy Baja",AG101="Mayor"),AND(AE101="Baja",AG101="Mayor"),AND(AE101="Media",AG101="Mayor"),AND(AE101="Alta",AG101="Moderado"),AND(AE101="Alta",AG101="Mayor"),AND(AE101="Muy Alta",AG101="Leve"),AND(AE101="Muy Alta",AG101="Menor"),AND(AE101="Muy Alta",AG101="Moderado"),AND(AE101="Muy Alta",AG101="Mayor")),"Alto",IF(OR(AND(AE101="Muy Baja",AG101="Catastrófico"),AND(AE101="Baja",AG101="Catastrófico"),AND(AE101="Media",AG101="Catastrófico"),AND(AE101="Alta",AG101="Catastrófico"),AND(AE101="Muy Alta",AG101="Catastrófico")),"Extremo","")))),"")</f>
        <v>Alto</v>
      </c>
      <c r="AK100" s="248" t="s">
        <v>27</v>
      </c>
    </row>
    <row r="101" spans="1:80" ht="84.75" customHeight="1" x14ac:dyDescent="0.2">
      <c r="A101" s="682"/>
      <c r="B101" s="781"/>
      <c r="C101" s="784"/>
      <c r="D101" s="649"/>
      <c r="E101" s="692"/>
      <c r="F101" s="742"/>
      <c r="G101" s="661"/>
      <c r="H101" s="661"/>
      <c r="I101" s="661"/>
      <c r="J101" s="647"/>
      <c r="K101" s="609"/>
      <c r="L101" s="637"/>
      <c r="M101" s="572"/>
      <c r="N101" s="716"/>
      <c r="O101" s="851"/>
      <c r="P101" s="853"/>
      <c r="Q101" s="571"/>
      <c r="R101" s="563"/>
      <c r="S101" s="594">
        <v>2</v>
      </c>
      <c r="T101" s="592" t="s">
        <v>369</v>
      </c>
      <c r="U101" s="577" t="str">
        <f t="shared" si="33"/>
        <v>Probabilidad</v>
      </c>
      <c r="V101" s="598" t="s">
        <v>12</v>
      </c>
      <c r="W101" s="598" t="s">
        <v>7</v>
      </c>
      <c r="X101" s="603" t="str">
        <f t="shared" si="27"/>
        <v>40%</v>
      </c>
      <c r="Y101" s="573" t="s">
        <v>17</v>
      </c>
      <c r="Z101" s="596" t="s">
        <v>20</v>
      </c>
      <c r="AA101" s="598" t="s">
        <v>105</v>
      </c>
      <c r="AB101" s="668"/>
      <c r="AC101" s="592" t="s">
        <v>715</v>
      </c>
      <c r="AD101" s="854">
        <v>0.6</v>
      </c>
      <c r="AE101" s="711" t="str">
        <f t="shared" si="28"/>
        <v>Media</v>
      </c>
      <c r="AF101" s="603">
        <f t="shared" si="30"/>
        <v>0.6</v>
      </c>
      <c r="AG101" s="677" t="str">
        <f t="shared" si="32"/>
        <v>Mayor</v>
      </c>
      <c r="AH101" s="603">
        <v>0.8</v>
      </c>
      <c r="AI101" s="720" t="str">
        <f t="shared" si="26"/>
        <v>Alto</v>
      </c>
      <c r="AJ101" s="720" t="s">
        <v>67</v>
      </c>
      <c r="AK101" s="598" t="s">
        <v>27</v>
      </c>
    </row>
    <row r="102" spans="1:80" ht="145.5" customHeight="1" x14ac:dyDescent="0.2">
      <c r="A102" s="682"/>
      <c r="B102" s="781"/>
      <c r="C102" s="784"/>
      <c r="D102" s="649"/>
      <c r="E102" s="659"/>
      <c r="F102" s="576"/>
      <c r="G102" s="654"/>
      <c r="H102" s="654"/>
      <c r="I102" s="654"/>
      <c r="J102" s="593"/>
      <c r="K102" s="595"/>
      <c r="L102" s="731"/>
      <c r="M102" s="566"/>
      <c r="N102" s="691"/>
      <c r="O102" s="705"/>
      <c r="P102" s="657"/>
      <c r="Q102" s="738"/>
      <c r="R102" s="570"/>
      <c r="S102" s="719"/>
      <c r="T102" s="655"/>
      <c r="U102" s="722"/>
      <c r="V102" s="599"/>
      <c r="W102" s="599"/>
      <c r="X102" s="604"/>
      <c r="Y102" s="574"/>
      <c r="Z102" s="597"/>
      <c r="AA102" s="599"/>
      <c r="AB102" s="669"/>
      <c r="AC102" s="655"/>
      <c r="AD102" s="855"/>
      <c r="AE102" s="856"/>
      <c r="AF102" s="634"/>
      <c r="AG102" s="678"/>
      <c r="AH102" s="634"/>
      <c r="AI102" s="721"/>
      <c r="AJ102" s="721"/>
      <c r="AK102" s="602"/>
    </row>
    <row r="103" spans="1:80" ht="207" customHeight="1" x14ac:dyDescent="0.2">
      <c r="A103" s="682"/>
      <c r="B103" s="781"/>
      <c r="C103" s="784"/>
      <c r="D103" s="649"/>
      <c r="E103" s="201">
        <v>46</v>
      </c>
      <c r="F103" s="224" t="s">
        <v>856</v>
      </c>
      <c r="G103" s="224" t="s">
        <v>295</v>
      </c>
      <c r="H103" s="224" t="s">
        <v>296</v>
      </c>
      <c r="I103" s="263" t="s">
        <v>213</v>
      </c>
      <c r="J103" s="176" t="s">
        <v>226</v>
      </c>
      <c r="K103" s="219" t="s">
        <v>199</v>
      </c>
      <c r="L103" s="160">
        <v>1100</v>
      </c>
      <c r="M103" s="217" t="str">
        <f t="shared" ref="M103:M117" si="34">IF(L103&lt;=0,"",IF(L103&lt;=2,"Muy Baja",IF(L103&lt;=24,"Baja",IF(L103&lt;=500,"Media",IF(L103&lt;=5000,"Alta","Muy Alta")))))</f>
        <v>Alta</v>
      </c>
      <c r="N103" s="225">
        <f t="shared" ref="N103:N117" si="35">IF(M103="","",IF(M103="Muy Baja",0.2,IF(M103="Baja",0.4,IF(M103="Media",0.6,IF(M103="Alta",0.8,IF(M103="Muy Alta",1,))))))</f>
        <v>0.8</v>
      </c>
      <c r="O103" s="220" t="s">
        <v>133</v>
      </c>
      <c r="P103" s="217" t="str">
        <f>IF(OR(O103='6.Tabla Impacto'!$C$11,O103='6.Tabla Impacto'!$D$11),"Leve",IF(OR(O103='6.Tabla Impacto'!$C$12,O103='6.Tabla Impacto'!$D$12),"Menor",IF(OR(O103='6.Tabla Impacto'!$C$13,O103='6.Tabla Impacto'!$D$13),"Moderado",IF(OR(O103='6.Tabla Impacto'!$C$14,O103='6.Tabla Impacto'!$D$14),"Mayor",IF(OR(O103='6.Tabla Impacto'!$C$15,O103='6.Tabla Impacto'!$D$15),"Catastrófico","")))))</f>
        <v>Mayor</v>
      </c>
      <c r="Q103" s="229">
        <f t="shared" ref="Q103:Q117" si="36">IF(P103="","",IF(P103="Leve",0.2,IF(P103="Menor",0.4,IF(P103="Moderado",0.6,IF(P103="Mayor",0.8,IF(P103="Catastrófico",1,))))))</f>
        <v>0.8</v>
      </c>
      <c r="R103" s="371" t="str">
        <f t="shared" ref="R103:R117" si="37">IF(OR(AND(M103="Muy Baja",P103="Leve"),AND(M103="Muy Baja",P103="Menor"),AND(M103="Baja",P103="Leve")),"Bajo",IF(OR(AND(M103="Muy baja",P103="Moderado"),AND(M103="Baja",P103="Menor"),AND(M103="Baja",P103="Moderado"),AND(M103="Media",P103="Leve"),AND(M103="Media",P103="Menor"),AND(M103="Media",P103="Moderado"),AND(M103="Alta",P103="Leve"),AND(M103="Alta",P103="Menor")),"Moderado",IF(OR(AND(M103="Muy Baja",P103="Mayor"),AND(M103="Baja",P103="Mayor"),AND(M103="Media",P103="Mayor"),AND(M103="Alta",P103="Moderado"),AND(M103="Alta",P103="Mayor"),AND(M103="Muy Alta",P103="Leve"),AND(M103="Muy Alta",P103="Menor"),AND(M103="Muy Alta",P103="Moderado"),AND(M103="Muy Alta",P103="Mayor")),"Alto",IF(OR(AND(M103="Muy Baja",P103="Catastrófico"),AND(M103="Baja",P103="Catastrófico"),AND(M103="Media",P103="Catastrófico"),AND(M103="Alta",P103="Catastrófico"),AND(M103="Muy Alta",P103="Catastrófico")),"Extremo",""))))</f>
        <v>Alto</v>
      </c>
      <c r="S103" s="169">
        <v>1</v>
      </c>
      <c r="T103" s="267" t="s">
        <v>371</v>
      </c>
      <c r="U103" s="159" t="str">
        <f t="shared" si="33"/>
        <v>Probabilidad</v>
      </c>
      <c r="V103" s="149" t="s">
        <v>12</v>
      </c>
      <c r="W103" s="149" t="s">
        <v>7</v>
      </c>
      <c r="X103" s="150" t="str">
        <f t="shared" ref="X103:X113" si="38">IF(AND(V103="Preventivo",W103="Automático"),"50%",IF(AND(V103="Preventivo",W103="Manual"),"40%",IF(AND(V103="Detectivo",W103="Automático"),"40%",IF(AND(V103="Detectivo",W103="Manual"),"30%",IF(AND(V103="Correctivo",W103="Automático"),"35%",IF(AND(V103="Correctivo",W103="Manual"),"25%",""))))))</f>
        <v>40%</v>
      </c>
      <c r="Y103" s="151" t="s">
        <v>17</v>
      </c>
      <c r="Z103" s="152" t="s">
        <v>20</v>
      </c>
      <c r="AA103" s="153" t="s">
        <v>105</v>
      </c>
      <c r="AB103" s="245"/>
      <c r="AC103" s="332" t="s">
        <v>620</v>
      </c>
      <c r="AD103" s="340">
        <v>0.6</v>
      </c>
      <c r="AE103" s="147" t="str">
        <f t="shared" ref="AE103:AE118" si="39">IFERROR(IF(AD103="","",IF(AD103&lt;=0.2,"Muy Baja",IF(AD103&lt;=0.4,"Baja",IF(AD103&lt;=0.6,"Media",IF(AD103&lt;=0.8,"Alta","Muy Alta"))))),"")</f>
        <v>Media</v>
      </c>
      <c r="AF103" s="139">
        <f t="shared" ref="AF103:AF118" si="40">+AD103</f>
        <v>0.6</v>
      </c>
      <c r="AG103" s="143" t="str">
        <f t="shared" ref="AG103:AG118" si="41">IFERROR(IF(AH103="","",IF(AH103&lt;=0.2,"Leve",IF(AH103&lt;=0.4,"Menor",IF(AH103&lt;=0.6,"Moderado",IF(AH103&lt;=0.8,"Mayor","Catastrófico"))))),"")</f>
        <v>Mayor</v>
      </c>
      <c r="AH103" s="139">
        <f>IFERROR(IF(U103="Impacto",(Q103-(+Q103*X103)),IF(U103="Probabilidad",Q103,"")),"")</f>
        <v>0.8</v>
      </c>
      <c r="AI103" s="213" t="str">
        <f t="shared" ref="AI103:AI115" si="42">IFERROR(IF(OR(AND(AE103="Muy Baja",AG103="Leve"),AND(AE103="Muy Baja",AG103="Menor"),AND(AE103="Baja",AG103="Leve")),"Bajo",IF(OR(AND(AE103="Muy baja",AG103="Moderado"),AND(AE103="Baja",AG103="Menor"),AND(AE103="Baja",AG103="Moderado"),AND(AE103="Media",AG103="Leve"),AND(AE103="Media",AG103="Menor"),AND(AE103="Media",AG103="Moderado"),AND(AE103="Alta",AG103="Leve"),AND(AE103="Alta",AG103="Menor")),"Moderado",IF(OR(AND(AE103="Muy Baja",AG103="Mayor"),AND(AE103="Baja",AG103="Mayor"),AND(AE103="Media",AG103="Mayor"),AND(AE103="Alta",AG103="Moderado"),AND(AE103="Alta",AG103="Mayor"),AND(AE103="Muy Alta",AG103="Leve"),AND(AE103="Muy Alta",AG103="Menor"),AND(AE103="Muy Alta",AG103="Moderado"),AND(AE103="Muy Alta",AG103="Mayor")),"Alto",IF(OR(AND(AE103="Muy Baja",AG103="Catastrófico"),AND(AE103="Baja",AG103="Catastrófico"),AND(AE103="Media",AG103="Catastrófico"),AND(AE103="Alta",AG103="Catastrófico"),AND(AE103="Muy Alta",AG103="Catastrófico")),"Extremo","")))),"")</f>
        <v>Alto</v>
      </c>
      <c r="AJ103" s="213" t="str">
        <f>$AI$103</f>
        <v>Alto</v>
      </c>
      <c r="AK103" s="248" t="s">
        <v>27</v>
      </c>
    </row>
    <row r="104" spans="1:80" s="134" customFormat="1" ht="136.5" customHeight="1" x14ac:dyDescent="0.2">
      <c r="A104" s="682"/>
      <c r="B104" s="781"/>
      <c r="C104" s="784"/>
      <c r="D104" s="649"/>
      <c r="E104" s="658">
        <v>47</v>
      </c>
      <c r="F104" s="575" t="s">
        <v>709</v>
      </c>
      <c r="G104" s="653" t="s">
        <v>710</v>
      </c>
      <c r="H104" s="653" t="s">
        <v>711</v>
      </c>
      <c r="I104" s="653" t="s">
        <v>392</v>
      </c>
      <c r="J104" s="686" t="s">
        <v>232</v>
      </c>
      <c r="K104" s="594" t="s">
        <v>199</v>
      </c>
      <c r="L104" s="730">
        <v>1100</v>
      </c>
      <c r="M104" s="565" t="str">
        <f t="shared" si="34"/>
        <v>Alta</v>
      </c>
      <c r="N104" s="643">
        <f t="shared" si="35"/>
        <v>0.8</v>
      </c>
      <c r="O104" s="567" t="s">
        <v>133</v>
      </c>
      <c r="P104" s="565" t="str">
        <f>IF(OR(O104='6.Tabla Impacto'!$C$11,O104='6.Tabla Impacto'!$D$11),"Leve",IF(OR(O104='6.Tabla Impacto'!$C$12,O104='6.Tabla Impacto'!$D$12),"Menor",IF(OR(O104='6.Tabla Impacto'!$C$13,O104='6.Tabla Impacto'!$D$13),"Moderado",IF(OR(O104='6.Tabla Impacto'!$C$14,O104='6.Tabla Impacto'!$D$14),"Mayor",IF(OR(O104='6.Tabla Impacto'!$C$15,O104='6.Tabla Impacto'!$D$15),"Catastrófico","")))))</f>
        <v>Mayor</v>
      </c>
      <c r="Q104" s="567">
        <f t="shared" si="36"/>
        <v>0.8</v>
      </c>
      <c r="R104" s="562" t="str">
        <f t="shared" si="37"/>
        <v>Alto</v>
      </c>
      <c r="S104" s="318">
        <v>1</v>
      </c>
      <c r="T104" s="267" t="s">
        <v>712</v>
      </c>
      <c r="U104" s="157" t="s">
        <v>2</v>
      </c>
      <c r="V104" s="149" t="s">
        <v>12</v>
      </c>
      <c r="W104" s="149" t="s">
        <v>7</v>
      </c>
      <c r="X104" s="150" t="str">
        <f t="shared" si="38"/>
        <v>40%</v>
      </c>
      <c r="Y104" s="338" t="s">
        <v>18</v>
      </c>
      <c r="Z104" s="152" t="s">
        <v>20</v>
      </c>
      <c r="AA104" s="153" t="s">
        <v>105</v>
      </c>
      <c r="AB104" s="354"/>
      <c r="AC104" s="364" t="s">
        <v>713</v>
      </c>
      <c r="AD104" s="141">
        <v>0.6</v>
      </c>
      <c r="AE104" s="147" t="str">
        <f t="shared" si="39"/>
        <v>Media</v>
      </c>
      <c r="AF104" s="139">
        <f t="shared" si="40"/>
        <v>0.6</v>
      </c>
      <c r="AG104" s="143" t="str">
        <f t="shared" si="41"/>
        <v>Mayor</v>
      </c>
      <c r="AH104" s="139">
        <f>IFERROR(IF(U104="Impacto",(Q104-(+Q104*X104)),IF(U104="Probabilidad",Q104,"")),"")</f>
        <v>0.8</v>
      </c>
      <c r="AI104" s="213" t="str">
        <f t="shared" si="42"/>
        <v>Alto</v>
      </c>
      <c r="AJ104" s="213" t="str">
        <f>$AI$103</f>
        <v>Alto</v>
      </c>
      <c r="AK104" s="248"/>
      <c r="AL104" s="234"/>
      <c r="AM104" s="234"/>
      <c r="AN104" s="234"/>
      <c r="AO104" s="234"/>
      <c r="AP104" s="234"/>
      <c r="AQ104" s="234"/>
      <c r="AR104" s="234"/>
      <c r="AS104" s="234"/>
      <c r="AT104" s="234"/>
      <c r="AU104" s="234"/>
      <c r="AV104" s="234"/>
      <c r="AW104" s="234"/>
      <c r="AX104" s="234"/>
      <c r="AY104" s="234"/>
      <c r="AZ104" s="234"/>
      <c r="BA104" s="234"/>
      <c r="BB104" s="234"/>
      <c r="BC104" s="234"/>
      <c r="BD104" s="234"/>
      <c r="BE104" s="234"/>
      <c r="BF104" s="234"/>
      <c r="BG104" s="234"/>
      <c r="BH104" s="234"/>
      <c r="BI104" s="234"/>
      <c r="BJ104" s="234"/>
      <c r="BK104" s="234"/>
      <c r="BL104" s="234"/>
      <c r="BM104" s="234"/>
      <c r="BN104" s="234"/>
      <c r="BO104" s="234"/>
      <c r="BP104" s="234"/>
      <c r="BQ104" s="234"/>
      <c r="BR104" s="234"/>
      <c r="BS104" s="234"/>
      <c r="BT104" s="234"/>
      <c r="BU104" s="234"/>
      <c r="BV104" s="234"/>
      <c r="BW104" s="234"/>
      <c r="BX104" s="234"/>
      <c r="BY104" s="234"/>
      <c r="BZ104" s="234"/>
      <c r="CA104" s="234"/>
      <c r="CB104" s="234"/>
    </row>
    <row r="105" spans="1:80" s="134" customFormat="1" ht="315" customHeight="1" x14ac:dyDescent="0.2">
      <c r="A105" s="682"/>
      <c r="B105" s="781"/>
      <c r="C105" s="784"/>
      <c r="D105" s="649"/>
      <c r="E105" s="659"/>
      <c r="F105" s="742"/>
      <c r="G105" s="661"/>
      <c r="H105" s="654"/>
      <c r="I105" s="654"/>
      <c r="J105" s="593"/>
      <c r="K105" s="595"/>
      <c r="L105" s="637"/>
      <c r="M105" s="566"/>
      <c r="N105" s="644"/>
      <c r="O105" s="568"/>
      <c r="P105" s="566"/>
      <c r="Q105" s="568"/>
      <c r="R105" s="564"/>
      <c r="S105" s="219">
        <v>2</v>
      </c>
      <c r="T105" s="267" t="s">
        <v>736</v>
      </c>
      <c r="U105" s="157" t="s">
        <v>2</v>
      </c>
      <c r="V105" s="149" t="s">
        <v>12</v>
      </c>
      <c r="W105" s="149" t="s">
        <v>7</v>
      </c>
      <c r="X105" s="150" t="str">
        <f t="shared" si="38"/>
        <v>40%</v>
      </c>
      <c r="Y105" s="338" t="s">
        <v>18</v>
      </c>
      <c r="Z105" s="152" t="s">
        <v>20</v>
      </c>
      <c r="AA105" s="153" t="s">
        <v>105</v>
      </c>
      <c r="AB105" s="244"/>
      <c r="AC105" s="272" t="s">
        <v>930</v>
      </c>
      <c r="AD105" s="341">
        <v>0.6</v>
      </c>
      <c r="AE105" s="147" t="str">
        <f t="shared" si="39"/>
        <v>Media</v>
      </c>
      <c r="AF105" s="325">
        <f t="shared" si="40"/>
        <v>0.6</v>
      </c>
      <c r="AG105" s="143" t="str">
        <f t="shared" si="41"/>
        <v>Mayor</v>
      </c>
      <c r="AH105" s="139">
        <v>0.8</v>
      </c>
      <c r="AI105" s="213" t="str">
        <f t="shared" si="42"/>
        <v>Alto</v>
      </c>
      <c r="AJ105" s="213" t="str">
        <f>$AI$103</f>
        <v>Alto</v>
      </c>
      <c r="AK105" s="248"/>
      <c r="AL105" s="234"/>
      <c r="AM105" s="234"/>
      <c r="AN105" s="234"/>
      <c r="AO105" s="234"/>
      <c r="AP105" s="234"/>
      <c r="AQ105" s="234"/>
      <c r="AR105" s="234"/>
      <c r="AS105" s="234"/>
      <c r="AT105" s="234"/>
      <c r="AU105" s="234"/>
      <c r="AV105" s="234"/>
      <c r="AW105" s="234"/>
      <c r="AX105" s="234"/>
      <c r="AY105" s="234"/>
      <c r="AZ105" s="234"/>
      <c r="BA105" s="234"/>
      <c r="BB105" s="234"/>
      <c r="BC105" s="234"/>
      <c r="BD105" s="234"/>
      <c r="BE105" s="234"/>
      <c r="BF105" s="234"/>
      <c r="BG105" s="234"/>
      <c r="BH105" s="234"/>
      <c r="BI105" s="234"/>
      <c r="BJ105" s="234"/>
      <c r="BK105" s="234"/>
      <c r="BL105" s="234"/>
      <c r="BM105" s="234"/>
      <c r="BN105" s="234"/>
      <c r="BO105" s="234"/>
      <c r="BP105" s="234"/>
      <c r="BQ105" s="234"/>
      <c r="BR105" s="234"/>
      <c r="BS105" s="234"/>
      <c r="BT105" s="234"/>
      <c r="BU105" s="234"/>
      <c r="BV105" s="234"/>
      <c r="BW105" s="234"/>
      <c r="BX105" s="234"/>
      <c r="BY105" s="234"/>
      <c r="BZ105" s="234"/>
      <c r="CA105" s="234"/>
      <c r="CB105" s="234"/>
    </row>
    <row r="106" spans="1:80" s="134" customFormat="1" ht="312" customHeight="1" x14ac:dyDescent="0.2">
      <c r="A106" s="682"/>
      <c r="B106" s="781"/>
      <c r="C106" s="784"/>
      <c r="D106" s="649"/>
      <c r="E106" s="362">
        <v>49</v>
      </c>
      <c r="F106" s="267" t="s">
        <v>726</v>
      </c>
      <c r="G106" s="263" t="s">
        <v>727</v>
      </c>
      <c r="H106" s="330" t="s">
        <v>728</v>
      </c>
      <c r="I106" s="365" t="s">
        <v>412</v>
      </c>
      <c r="J106" s="317" t="s">
        <v>226</v>
      </c>
      <c r="K106" s="318" t="s">
        <v>199</v>
      </c>
      <c r="L106" s="360">
        <v>1145</v>
      </c>
      <c r="M106" s="306" t="str">
        <f t="shared" si="34"/>
        <v>Alta</v>
      </c>
      <c r="N106" s="349">
        <f t="shared" si="35"/>
        <v>0.8</v>
      </c>
      <c r="O106" s="355" t="s">
        <v>133</v>
      </c>
      <c r="P106" s="357" t="str">
        <f>IF(OR(O106='6.Tabla Impacto'!$C$11,O106='6.Tabla Impacto'!$D$11),"Leve",IF(OR(O106='6.Tabla Impacto'!$C$12,O106='6.Tabla Impacto'!$D$12),"Menor",IF(OR(O106='6.Tabla Impacto'!$C$13,O106='6.Tabla Impacto'!$D$13),"Moderado",IF(OR(O106='6.Tabla Impacto'!$C$14,O106='6.Tabla Impacto'!$D$14),"Mayor",IF(OR(O106='6.Tabla Impacto'!$C$15,O106='6.Tabla Impacto'!$D$15),"Catastrófico","")))))</f>
        <v>Mayor</v>
      </c>
      <c r="Q106" s="307">
        <f t="shared" si="36"/>
        <v>0.8</v>
      </c>
      <c r="R106" s="304" t="str">
        <f t="shared" si="37"/>
        <v>Alto</v>
      </c>
      <c r="S106" s="271">
        <v>1</v>
      </c>
      <c r="T106" s="267" t="s">
        <v>729</v>
      </c>
      <c r="U106" s="159" t="s">
        <v>2</v>
      </c>
      <c r="V106" s="149" t="s">
        <v>12</v>
      </c>
      <c r="W106" s="149" t="s">
        <v>7</v>
      </c>
      <c r="X106" s="150" t="str">
        <f t="shared" si="38"/>
        <v>40%</v>
      </c>
      <c r="Y106" s="151" t="s">
        <v>17</v>
      </c>
      <c r="Z106" s="152" t="s">
        <v>20</v>
      </c>
      <c r="AA106" s="153" t="s">
        <v>413</v>
      </c>
      <c r="AB106" s="245"/>
      <c r="AC106" s="332" t="s">
        <v>737</v>
      </c>
      <c r="AD106" s="341">
        <v>0.6</v>
      </c>
      <c r="AE106" s="147" t="str">
        <f t="shared" si="39"/>
        <v>Media</v>
      </c>
      <c r="AF106" s="139">
        <f t="shared" si="40"/>
        <v>0.6</v>
      </c>
      <c r="AG106" s="143" t="str">
        <f t="shared" si="41"/>
        <v>Mayor</v>
      </c>
      <c r="AH106" s="325">
        <v>0.8</v>
      </c>
      <c r="AI106" s="213" t="str">
        <f t="shared" si="42"/>
        <v>Alto</v>
      </c>
      <c r="AJ106" s="213" t="str">
        <f>$AI$103</f>
        <v>Alto</v>
      </c>
      <c r="AK106" s="248" t="s">
        <v>27</v>
      </c>
      <c r="AL106" s="234"/>
      <c r="AM106" s="234"/>
      <c r="AN106" s="234"/>
      <c r="AO106" s="234"/>
      <c r="AP106" s="234"/>
      <c r="AQ106" s="234"/>
      <c r="AR106" s="234"/>
      <c r="AS106" s="234"/>
      <c r="AT106" s="234"/>
      <c r="AU106" s="234"/>
      <c r="AV106" s="234"/>
      <c r="AW106" s="234"/>
      <c r="AX106" s="234"/>
      <c r="AY106" s="234"/>
      <c r="AZ106" s="234"/>
      <c r="BA106" s="234"/>
      <c r="BB106" s="234"/>
      <c r="BC106" s="234"/>
      <c r="BD106" s="234"/>
      <c r="BE106" s="234"/>
      <c r="BF106" s="234"/>
      <c r="BG106" s="234"/>
      <c r="BH106" s="234"/>
      <c r="BI106" s="234"/>
      <c r="BJ106" s="234"/>
      <c r="BK106" s="234"/>
      <c r="BL106" s="234"/>
      <c r="BM106" s="234"/>
      <c r="BN106" s="234"/>
      <c r="BO106" s="234"/>
      <c r="BP106" s="234"/>
      <c r="BQ106" s="234"/>
      <c r="BR106" s="234"/>
      <c r="BS106" s="234"/>
      <c r="BT106" s="234"/>
      <c r="BU106" s="234"/>
      <c r="BV106" s="234"/>
      <c r="BW106" s="234"/>
      <c r="BX106" s="234"/>
      <c r="BY106" s="234"/>
      <c r="BZ106" s="234"/>
      <c r="CA106" s="234"/>
      <c r="CB106" s="234"/>
    </row>
    <row r="107" spans="1:80" ht="123.75" customHeight="1" x14ac:dyDescent="0.2">
      <c r="A107" s="682"/>
      <c r="B107" s="781"/>
      <c r="C107" s="784"/>
      <c r="D107" s="649"/>
      <c r="E107" s="693">
        <v>50</v>
      </c>
      <c r="F107" s="575" t="s">
        <v>716</v>
      </c>
      <c r="G107" s="653" t="s">
        <v>717</v>
      </c>
      <c r="H107" s="653" t="s">
        <v>718</v>
      </c>
      <c r="I107" s="739" t="s">
        <v>393</v>
      </c>
      <c r="J107" s="732" t="s">
        <v>220</v>
      </c>
      <c r="K107" s="594" t="s">
        <v>199</v>
      </c>
      <c r="L107" s="727">
        <v>5748</v>
      </c>
      <c r="M107" s="565" t="str">
        <f t="shared" si="34"/>
        <v>Muy Alta</v>
      </c>
      <c r="N107" s="567">
        <f t="shared" si="35"/>
        <v>1</v>
      </c>
      <c r="O107" s="723" t="s">
        <v>133</v>
      </c>
      <c r="P107" s="639" t="str">
        <f>IF(OR(O107='6.Tabla Impacto'!$C$11,O107='6.Tabla Impacto'!$D$11),"Leve",IF(OR(O107='6.Tabla Impacto'!$C$12,O107='6.Tabla Impacto'!$D$12),"Menor",IF(OR(O107='6.Tabla Impacto'!$C$13,O107='6.Tabla Impacto'!$D$13),"Moderado",IF(OR(O107='6.Tabla Impacto'!$C$14,O107='6.Tabla Impacto'!$D$14),"Mayor",IF(OR(O107='6.Tabla Impacto'!$C$15,O107='6.Tabla Impacto'!$D$15),"Catastrófico","")))))</f>
        <v>Mayor</v>
      </c>
      <c r="Q107" s="643">
        <f t="shared" si="36"/>
        <v>0.8</v>
      </c>
      <c r="R107" s="702" t="str">
        <f t="shared" si="37"/>
        <v>Alto</v>
      </c>
      <c r="S107" s="169">
        <v>1</v>
      </c>
      <c r="T107" s="267" t="s">
        <v>724</v>
      </c>
      <c r="U107" s="159" t="str">
        <f t="shared" si="33"/>
        <v>Probabilidad</v>
      </c>
      <c r="V107" s="149" t="s">
        <v>12</v>
      </c>
      <c r="W107" s="149" t="s">
        <v>7</v>
      </c>
      <c r="X107" s="150" t="str">
        <f t="shared" si="38"/>
        <v>40%</v>
      </c>
      <c r="Y107" s="151" t="s">
        <v>17</v>
      </c>
      <c r="Z107" s="152" t="s">
        <v>20</v>
      </c>
      <c r="AA107" s="153" t="s">
        <v>105</v>
      </c>
      <c r="AB107" s="245"/>
      <c r="AC107" s="332" t="s">
        <v>723</v>
      </c>
      <c r="AD107" s="202">
        <f>IFERROR(IF(U107="Probabilidad",(N107-(+N107*X107)),IF(U107="Impacto",N107,"")),"")</f>
        <v>0.6</v>
      </c>
      <c r="AE107" s="147" t="str">
        <f t="shared" si="39"/>
        <v>Media</v>
      </c>
      <c r="AF107" s="139">
        <f t="shared" si="40"/>
        <v>0.6</v>
      </c>
      <c r="AG107" s="143" t="str">
        <f t="shared" si="41"/>
        <v>Mayor</v>
      </c>
      <c r="AH107" s="139">
        <f>IFERROR(IF(U107="Impacto",(Q107-(+Q107*X107)),IF(U107="Probabilidad",Q107,"")),"")</f>
        <v>0.8</v>
      </c>
      <c r="AI107" s="213" t="str">
        <f t="shared" si="42"/>
        <v>Alto</v>
      </c>
      <c r="AJ107" s="213" t="str">
        <f>$AI$107</f>
        <v>Alto</v>
      </c>
      <c r="AK107" s="248" t="s">
        <v>119</v>
      </c>
    </row>
    <row r="108" spans="1:80" s="134" customFormat="1" ht="264" customHeight="1" x14ac:dyDescent="0.2">
      <c r="A108" s="682"/>
      <c r="B108" s="781"/>
      <c r="C108" s="784"/>
      <c r="D108" s="649"/>
      <c r="E108" s="694"/>
      <c r="F108" s="742"/>
      <c r="G108" s="661"/>
      <c r="H108" s="661"/>
      <c r="I108" s="762"/>
      <c r="J108" s="732"/>
      <c r="K108" s="609"/>
      <c r="L108" s="728"/>
      <c r="M108" s="572"/>
      <c r="N108" s="571"/>
      <c r="O108" s="724"/>
      <c r="P108" s="726"/>
      <c r="Q108" s="700"/>
      <c r="R108" s="608"/>
      <c r="S108" s="219">
        <v>2</v>
      </c>
      <c r="T108" s="383" t="s">
        <v>721</v>
      </c>
      <c r="U108" s="159" t="s">
        <v>2</v>
      </c>
      <c r="V108" s="149" t="s">
        <v>12</v>
      </c>
      <c r="W108" s="149" t="s">
        <v>7</v>
      </c>
      <c r="X108" s="150" t="str">
        <f t="shared" si="38"/>
        <v>40%</v>
      </c>
      <c r="Y108" s="151" t="s">
        <v>17</v>
      </c>
      <c r="Z108" s="152" t="s">
        <v>20</v>
      </c>
      <c r="AA108" s="153" t="s">
        <v>105</v>
      </c>
      <c r="AB108" s="244"/>
      <c r="AC108" s="317" t="s">
        <v>722</v>
      </c>
      <c r="AD108" s="188">
        <v>0.6</v>
      </c>
      <c r="AE108" s="147" t="str">
        <f t="shared" si="39"/>
        <v>Media</v>
      </c>
      <c r="AF108" s="139">
        <f t="shared" si="40"/>
        <v>0.6</v>
      </c>
      <c r="AG108" s="143" t="str">
        <f t="shared" si="41"/>
        <v>Mayor</v>
      </c>
      <c r="AH108" s="139">
        <v>0.8</v>
      </c>
      <c r="AI108" s="213" t="str">
        <f t="shared" si="42"/>
        <v>Alto</v>
      </c>
      <c r="AJ108" s="213" t="str">
        <f>$AI$107</f>
        <v>Alto</v>
      </c>
      <c r="AK108" s="248" t="s">
        <v>119</v>
      </c>
      <c r="AL108" s="234"/>
      <c r="AM108" s="234"/>
      <c r="AN108" s="234"/>
      <c r="AO108" s="234"/>
      <c r="AP108" s="234"/>
      <c r="AQ108" s="234"/>
      <c r="AR108" s="234"/>
      <c r="AS108" s="234"/>
      <c r="AT108" s="234"/>
      <c r="AU108" s="234"/>
      <c r="AV108" s="234"/>
      <c r="AW108" s="234"/>
      <c r="AX108" s="234"/>
      <c r="AY108" s="234"/>
      <c r="AZ108" s="234"/>
      <c r="BA108" s="234"/>
      <c r="BB108" s="234"/>
      <c r="BC108" s="234"/>
      <c r="BD108" s="234"/>
      <c r="BE108" s="234"/>
      <c r="BF108" s="234"/>
      <c r="BG108" s="234"/>
      <c r="BH108" s="234"/>
      <c r="BI108" s="234"/>
      <c r="BJ108" s="234"/>
      <c r="BK108" s="234"/>
      <c r="BL108" s="234"/>
      <c r="BM108" s="234"/>
      <c r="BN108" s="234"/>
      <c r="BO108" s="234"/>
      <c r="BP108" s="234"/>
      <c r="BQ108" s="234"/>
      <c r="BR108" s="234"/>
      <c r="BS108" s="234"/>
      <c r="BT108" s="234"/>
      <c r="BU108" s="234"/>
      <c r="BV108" s="234"/>
      <c r="BW108" s="234"/>
      <c r="BX108" s="234"/>
      <c r="BY108" s="234"/>
      <c r="BZ108" s="234"/>
      <c r="CA108" s="234"/>
      <c r="CB108" s="234"/>
    </row>
    <row r="109" spans="1:80" s="134" customFormat="1" ht="138" customHeight="1" x14ac:dyDescent="0.2">
      <c r="A109" s="682"/>
      <c r="B109" s="781"/>
      <c r="C109" s="784"/>
      <c r="D109" s="649"/>
      <c r="E109" s="694"/>
      <c r="F109" s="742"/>
      <c r="G109" s="661"/>
      <c r="H109" s="661"/>
      <c r="I109" s="762"/>
      <c r="J109" s="732"/>
      <c r="K109" s="609"/>
      <c r="L109" s="728"/>
      <c r="M109" s="572"/>
      <c r="N109" s="571"/>
      <c r="O109" s="724"/>
      <c r="P109" s="726"/>
      <c r="Q109" s="700"/>
      <c r="R109" s="608"/>
      <c r="S109" s="219">
        <v>3</v>
      </c>
      <c r="T109" s="267" t="s">
        <v>725</v>
      </c>
      <c r="U109" s="159" t="s">
        <v>2</v>
      </c>
      <c r="V109" s="149" t="s">
        <v>12</v>
      </c>
      <c r="W109" s="149" t="s">
        <v>7</v>
      </c>
      <c r="X109" s="150" t="str">
        <f t="shared" si="38"/>
        <v>40%</v>
      </c>
      <c r="Y109" s="151" t="s">
        <v>17</v>
      </c>
      <c r="Z109" s="152" t="s">
        <v>20</v>
      </c>
      <c r="AA109" s="153" t="s">
        <v>105</v>
      </c>
      <c r="AB109" s="244"/>
      <c r="AC109" s="364" t="s">
        <v>719</v>
      </c>
      <c r="AD109" s="188">
        <v>0.6</v>
      </c>
      <c r="AE109" s="147" t="str">
        <f t="shared" si="39"/>
        <v>Media</v>
      </c>
      <c r="AF109" s="139">
        <f t="shared" si="40"/>
        <v>0.6</v>
      </c>
      <c r="AG109" s="143" t="str">
        <f t="shared" si="41"/>
        <v>Mayor</v>
      </c>
      <c r="AH109" s="139">
        <v>0.8</v>
      </c>
      <c r="AI109" s="213" t="str">
        <f t="shared" si="42"/>
        <v>Alto</v>
      </c>
      <c r="AJ109" s="213" t="str">
        <f>$AI$107</f>
        <v>Alto</v>
      </c>
      <c r="AK109" s="248" t="s">
        <v>119</v>
      </c>
      <c r="AL109" s="234"/>
      <c r="AM109" s="234"/>
      <c r="AN109" s="234"/>
      <c r="AO109" s="234"/>
      <c r="AP109" s="234"/>
      <c r="AQ109" s="234"/>
      <c r="AR109" s="234"/>
      <c r="AS109" s="234"/>
      <c r="AT109" s="234"/>
      <c r="AU109" s="234"/>
      <c r="AV109" s="234"/>
      <c r="AW109" s="234"/>
      <c r="AX109" s="234"/>
      <c r="AY109" s="234"/>
      <c r="AZ109" s="234"/>
      <c r="BA109" s="234"/>
      <c r="BB109" s="234"/>
      <c r="BC109" s="234"/>
      <c r="BD109" s="234"/>
      <c r="BE109" s="234"/>
      <c r="BF109" s="234"/>
      <c r="BG109" s="234"/>
      <c r="BH109" s="234"/>
      <c r="BI109" s="234"/>
      <c r="BJ109" s="234"/>
      <c r="BK109" s="234"/>
      <c r="BL109" s="234"/>
      <c r="BM109" s="234"/>
      <c r="BN109" s="234"/>
      <c r="BO109" s="234"/>
      <c r="BP109" s="234"/>
      <c r="BQ109" s="234"/>
      <c r="BR109" s="234"/>
      <c r="BS109" s="234"/>
      <c r="BT109" s="234"/>
      <c r="BU109" s="234"/>
      <c r="BV109" s="234"/>
      <c r="BW109" s="234"/>
      <c r="BX109" s="234"/>
      <c r="BY109" s="234"/>
      <c r="BZ109" s="234"/>
      <c r="CA109" s="234"/>
      <c r="CB109" s="234"/>
    </row>
    <row r="110" spans="1:80" s="134" customFormat="1" ht="178.5" customHeight="1" x14ac:dyDescent="0.2">
      <c r="A110" s="682"/>
      <c r="B110" s="781"/>
      <c r="C110" s="784"/>
      <c r="D110" s="649"/>
      <c r="E110" s="695"/>
      <c r="F110" s="576"/>
      <c r="G110" s="654"/>
      <c r="H110" s="654"/>
      <c r="I110" s="740"/>
      <c r="J110" s="732"/>
      <c r="K110" s="595"/>
      <c r="L110" s="729"/>
      <c r="M110" s="566"/>
      <c r="N110" s="568"/>
      <c r="O110" s="725"/>
      <c r="P110" s="726"/>
      <c r="Q110" s="701"/>
      <c r="R110" s="703"/>
      <c r="S110" s="219">
        <v>4</v>
      </c>
      <c r="T110" s="384" t="s">
        <v>951</v>
      </c>
      <c r="U110" s="159" t="s">
        <v>2</v>
      </c>
      <c r="V110" s="149" t="s">
        <v>12</v>
      </c>
      <c r="W110" s="149" t="s">
        <v>7</v>
      </c>
      <c r="X110" s="150" t="str">
        <f t="shared" si="38"/>
        <v>40%</v>
      </c>
      <c r="Y110" s="151" t="s">
        <v>17</v>
      </c>
      <c r="Z110" s="152" t="s">
        <v>20</v>
      </c>
      <c r="AA110" s="153" t="s">
        <v>105</v>
      </c>
      <c r="AB110" s="244"/>
      <c r="AC110" s="364" t="s">
        <v>720</v>
      </c>
      <c r="AD110" s="188">
        <v>0.6</v>
      </c>
      <c r="AE110" s="147" t="str">
        <f t="shared" si="39"/>
        <v>Media</v>
      </c>
      <c r="AF110" s="139">
        <f t="shared" si="40"/>
        <v>0.6</v>
      </c>
      <c r="AG110" s="143" t="str">
        <f t="shared" si="41"/>
        <v>Mayor</v>
      </c>
      <c r="AH110" s="139">
        <v>0.8</v>
      </c>
      <c r="AI110" s="213" t="str">
        <f t="shared" si="42"/>
        <v>Alto</v>
      </c>
      <c r="AJ110" s="213" t="str">
        <f>$AI$107</f>
        <v>Alto</v>
      </c>
      <c r="AK110" s="248" t="s">
        <v>119</v>
      </c>
      <c r="AL110" s="234"/>
      <c r="AM110" s="234"/>
      <c r="AN110" s="234"/>
      <c r="AO110" s="234"/>
      <c r="AP110" s="234"/>
      <c r="AQ110" s="234"/>
      <c r="AR110" s="234"/>
      <c r="AS110" s="234"/>
      <c r="AT110" s="234"/>
      <c r="AU110" s="234"/>
      <c r="AV110" s="234"/>
      <c r="AW110" s="234"/>
      <c r="AX110" s="234"/>
      <c r="AY110" s="234"/>
      <c r="AZ110" s="234"/>
      <c r="BA110" s="234"/>
      <c r="BB110" s="234"/>
      <c r="BC110" s="234"/>
      <c r="BD110" s="234"/>
      <c r="BE110" s="234"/>
      <c r="BF110" s="234"/>
      <c r="BG110" s="234"/>
      <c r="BH110" s="234"/>
      <c r="BI110" s="234"/>
      <c r="BJ110" s="234"/>
      <c r="BK110" s="234"/>
      <c r="BL110" s="234"/>
      <c r="BM110" s="234"/>
      <c r="BN110" s="234"/>
      <c r="BO110" s="234"/>
      <c r="BP110" s="234"/>
      <c r="BQ110" s="234"/>
      <c r="BR110" s="234"/>
      <c r="BS110" s="234"/>
      <c r="BT110" s="234"/>
      <c r="BU110" s="234"/>
      <c r="BV110" s="234"/>
      <c r="BW110" s="234"/>
      <c r="BX110" s="234"/>
      <c r="BY110" s="234"/>
      <c r="BZ110" s="234"/>
      <c r="CA110" s="234"/>
      <c r="CB110" s="234"/>
    </row>
    <row r="111" spans="1:80" s="134" customFormat="1" ht="326.25" customHeight="1" x14ac:dyDescent="0.2">
      <c r="A111" s="682"/>
      <c r="B111" s="782"/>
      <c r="C111" s="785"/>
      <c r="D111" s="650"/>
      <c r="E111" s="363">
        <v>51</v>
      </c>
      <c r="F111" s="267" t="s">
        <v>726</v>
      </c>
      <c r="G111" s="263" t="s">
        <v>727</v>
      </c>
      <c r="H111" s="330" t="s">
        <v>728</v>
      </c>
      <c r="I111" s="365" t="s">
        <v>412</v>
      </c>
      <c r="J111" s="364" t="s">
        <v>226</v>
      </c>
      <c r="K111" s="318" t="s">
        <v>199</v>
      </c>
      <c r="L111" s="361">
        <v>254</v>
      </c>
      <c r="M111" s="217" t="str">
        <f t="shared" si="34"/>
        <v>Media</v>
      </c>
      <c r="N111" s="214">
        <f t="shared" si="35"/>
        <v>0.6</v>
      </c>
      <c r="O111" s="214" t="s">
        <v>132</v>
      </c>
      <c r="P111" s="327" t="str">
        <f>IF(OR(O111='6.Tabla Impacto'!$C$11,O111='6.Tabla Impacto'!$D$11),"Leve",IF(OR(O111='6.Tabla Impacto'!$C$12,O111='6.Tabla Impacto'!$D$12),"Menor",IF(OR(O111='6.Tabla Impacto'!$C$13,O111='6.Tabla Impacto'!$D$13),"Moderado",IF(OR(O111='6.Tabla Impacto'!$C$14,O111='6.Tabla Impacto'!$D$14),"Mayor",IF(OR(O111='6.Tabla Impacto'!$C$15,O111='6.Tabla Impacto'!$D$15),"Catastrófico","")))))</f>
        <v>Moderado</v>
      </c>
      <c r="Q111" s="214">
        <f t="shared" si="36"/>
        <v>0.6</v>
      </c>
      <c r="R111" s="215" t="str">
        <f t="shared" si="37"/>
        <v>Moderado</v>
      </c>
      <c r="S111" s="219">
        <v>1</v>
      </c>
      <c r="T111" s="267" t="s">
        <v>729</v>
      </c>
      <c r="U111" s="157" t="s">
        <v>2</v>
      </c>
      <c r="V111" s="149" t="s">
        <v>12</v>
      </c>
      <c r="W111" s="149" t="s">
        <v>7</v>
      </c>
      <c r="X111" s="150" t="str">
        <f t="shared" si="38"/>
        <v>40%</v>
      </c>
      <c r="Y111" s="151" t="s">
        <v>17</v>
      </c>
      <c r="Z111" s="152" t="s">
        <v>20</v>
      </c>
      <c r="AA111" s="153" t="s">
        <v>413</v>
      </c>
      <c r="AB111" s="244"/>
      <c r="AC111" s="332" t="s">
        <v>857</v>
      </c>
      <c r="AD111" s="188">
        <v>0.6</v>
      </c>
      <c r="AE111" s="147" t="str">
        <f t="shared" si="39"/>
        <v>Media</v>
      </c>
      <c r="AF111" s="139">
        <f t="shared" si="40"/>
        <v>0.6</v>
      </c>
      <c r="AG111" s="343" t="s">
        <v>68</v>
      </c>
      <c r="AH111" s="139">
        <f>IFERROR(IF(U111="Impacto",(Q111-(+Q111*X111)),IF(U111="Probabilidad",Q111,"")),"")</f>
        <v>0.6</v>
      </c>
      <c r="AI111" s="352" t="str">
        <f t="shared" si="42"/>
        <v>Moderado</v>
      </c>
      <c r="AJ111" s="352" t="str">
        <f>$AI$112</f>
        <v>Moderado</v>
      </c>
      <c r="AK111" s="248" t="s">
        <v>119</v>
      </c>
      <c r="AL111" s="234"/>
      <c r="AM111" s="234"/>
      <c r="AN111" s="234"/>
      <c r="AO111" s="234"/>
      <c r="AP111" s="234"/>
      <c r="AQ111" s="234"/>
      <c r="AR111" s="234"/>
      <c r="AS111" s="234"/>
      <c r="AT111" s="234"/>
      <c r="AU111" s="234"/>
      <c r="AV111" s="234"/>
      <c r="AW111" s="234"/>
      <c r="AX111" s="234"/>
      <c r="AY111" s="234"/>
      <c r="AZ111" s="234"/>
      <c r="BA111" s="234"/>
      <c r="BB111" s="234"/>
      <c r="BC111" s="234"/>
      <c r="BD111" s="234"/>
      <c r="BE111" s="234"/>
      <c r="BF111" s="234"/>
      <c r="BG111" s="234"/>
      <c r="BH111" s="234"/>
      <c r="BI111" s="234"/>
      <c r="BJ111" s="234"/>
      <c r="BK111" s="234"/>
      <c r="BL111" s="234"/>
      <c r="BM111" s="234"/>
      <c r="BN111" s="234"/>
      <c r="BO111" s="234"/>
      <c r="BP111" s="234"/>
      <c r="BQ111" s="234"/>
      <c r="BR111" s="234"/>
      <c r="BS111" s="234"/>
      <c r="BT111" s="234"/>
      <c r="BU111" s="234"/>
      <c r="BV111" s="234"/>
      <c r="BW111" s="234"/>
      <c r="BX111" s="234"/>
      <c r="BY111" s="234"/>
      <c r="BZ111" s="234"/>
      <c r="CA111" s="234"/>
      <c r="CB111" s="234"/>
    </row>
    <row r="112" spans="1:80" ht="242.25" customHeight="1" x14ac:dyDescent="0.2">
      <c r="A112" s="682"/>
      <c r="B112" s="795">
        <v>17</v>
      </c>
      <c r="C112" s="783" t="s">
        <v>299</v>
      </c>
      <c r="D112" s="182" t="s">
        <v>307</v>
      </c>
      <c r="E112" s="201">
        <v>52</v>
      </c>
      <c r="F112" s="267" t="s">
        <v>858</v>
      </c>
      <c r="G112" s="162" t="s">
        <v>287</v>
      </c>
      <c r="H112" s="263" t="s">
        <v>288</v>
      </c>
      <c r="I112" s="219" t="s">
        <v>197</v>
      </c>
      <c r="J112" s="211" t="s">
        <v>109</v>
      </c>
      <c r="K112" s="219" t="s">
        <v>199</v>
      </c>
      <c r="L112" s="146">
        <v>60</v>
      </c>
      <c r="M112" s="217" t="str">
        <f t="shared" si="34"/>
        <v>Media</v>
      </c>
      <c r="N112" s="214">
        <f t="shared" si="35"/>
        <v>0.6</v>
      </c>
      <c r="O112" s="214" t="s">
        <v>132</v>
      </c>
      <c r="P112" s="327" t="str">
        <f>IF(OR(O112='6.Tabla Impacto'!$C$11,O112='6.Tabla Impacto'!$D$11),"Leve",IF(OR(O112='6.Tabla Impacto'!$C$12,O112='6.Tabla Impacto'!$D$12),"Menor",IF(OR(O112='6.Tabla Impacto'!$C$13,O112='6.Tabla Impacto'!$D$13),"Moderado",IF(OR(O112='6.Tabla Impacto'!$C$14,O112='6.Tabla Impacto'!$D$14),"Mayor",IF(OR(O112='6.Tabla Impacto'!$C$15,O112='6.Tabla Impacto'!$D$15),"Catastrófico","")))))</f>
        <v>Moderado</v>
      </c>
      <c r="Q112" s="214">
        <f t="shared" si="36"/>
        <v>0.6</v>
      </c>
      <c r="R112" s="215" t="str">
        <f t="shared" si="37"/>
        <v>Moderado</v>
      </c>
      <c r="S112" s="219">
        <v>1</v>
      </c>
      <c r="T112" s="267" t="s">
        <v>569</v>
      </c>
      <c r="U112" s="315" t="str">
        <f>IF(OR(V112="Preventivo",V112="Detectivo"),"Probabilidad",IF(V112="Correctivo","Impacto",""))</f>
        <v>Probabilidad</v>
      </c>
      <c r="V112" s="149" t="s">
        <v>12</v>
      </c>
      <c r="W112" s="149" t="s">
        <v>7</v>
      </c>
      <c r="X112" s="325" t="str">
        <f t="shared" si="38"/>
        <v>40%</v>
      </c>
      <c r="Y112" s="151" t="s">
        <v>17</v>
      </c>
      <c r="Z112" s="152" t="s">
        <v>20</v>
      </c>
      <c r="AA112" s="153" t="s">
        <v>105</v>
      </c>
      <c r="AB112" s="210"/>
      <c r="AC112" s="364" t="s">
        <v>570</v>
      </c>
      <c r="AD112" s="188">
        <v>0.6</v>
      </c>
      <c r="AE112" s="138" t="str">
        <f t="shared" si="39"/>
        <v>Media</v>
      </c>
      <c r="AF112" s="139">
        <f t="shared" si="40"/>
        <v>0.6</v>
      </c>
      <c r="AG112" s="343" t="str">
        <f t="shared" si="41"/>
        <v>Moderado</v>
      </c>
      <c r="AH112" s="139">
        <f>IFERROR(IF(U112="Impacto",(Q112-(+Q112*X112)),IF(U112="Probabilidad",Q112,"")),"")</f>
        <v>0.6</v>
      </c>
      <c r="AI112" s="352" t="str">
        <f t="shared" si="42"/>
        <v>Moderado</v>
      </c>
      <c r="AJ112" s="352" t="str">
        <f>$AI$112</f>
        <v>Moderado</v>
      </c>
      <c r="AK112" s="248" t="s">
        <v>119</v>
      </c>
    </row>
    <row r="113" spans="1:80" ht="186" customHeight="1" x14ac:dyDescent="0.2">
      <c r="A113" s="682"/>
      <c r="B113" s="796"/>
      <c r="C113" s="784"/>
      <c r="D113" s="648" t="s">
        <v>298</v>
      </c>
      <c r="E113" s="658">
        <v>53</v>
      </c>
      <c r="F113" s="575" t="s">
        <v>738</v>
      </c>
      <c r="G113" s="754" t="s">
        <v>391</v>
      </c>
      <c r="H113" s="653" t="s">
        <v>300</v>
      </c>
      <c r="I113" s="747" t="s">
        <v>213</v>
      </c>
      <c r="J113" s="750" t="s">
        <v>109</v>
      </c>
      <c r="K113" s="594" t="s">
        <v>199</v>
      </c>
      <c r="L113" s="641">
        <v>557500</v>
      </c>
      <c r="M113" s="565" t="str">
        <f t="shared" si="34"/>
        <v>Muy Alta</v>
      </c>
      <c r="N113" s="567">
        <f t="shared" si="35"/>
        <v>1</v>
      </c>
      <c r="O113" s="707" t="s">
        <v>104</v>
      </c>
      <c r="P113" s="565" t="str">
        <f>IF(OR(O113='6.Tabla Impacto'!$C$11,O113='6.Tabla Impacto'!$D$11),"Leve",IF(OR(O113='6.Tabla Impacto'!$C$12,O113='6.Tabla Impacto'!$D$12),"Menor",IF(OR(O113='6.Tabla Impacto'!$C$13,O113='6.Tabla Impacto'!$D$13),"Moderado",IF(OR(O113='6.Tabla Impacto'!$C$14,O113='6.Tabla Impacto'!$D$14),"Mayor",IF(OR(O113='6.Tabla Impacto'!$C$15,O113='6.Tabla Impacto'!$D$15),"Catastrófico","")))))</f>
        <v>Mayor</v>
      </c>
      <c r="Q113" s="567">
        <f t="shared" si="36"/>
        <v>0.8</v>
      </c>
      <c r="R113" s="562" t="str">
        <f t="shared" si="37"/>
        <v>Alto</v>
      </c>
      <c r="S113" s="219">
        <v>1</v>
      </c>
      <c r="T113" s="267" t="s">
        <v>339</v>
      </c>
      <c r="U113" s="148" t="str">
        <f t="shared" ref="U113:U118" si="43">IF(OR(V113="Preventivo",V113="Detectivo"),"Probabilidad",IF(V113="Correctivo","Impacto",""))</f>
        <v>Probabilidad</v>
      </c>
      <c r="V113" s="149" t="s">
        <v>12</v>
      </c>
      <c r="W113" s="149" t="s">
        <v>7</v>
      </c>
      <c r="X113" s="150" t="str">
        <f t="shared" si="38"/>
        <v>40%</v>
      </c>
      <c r="Y113" s="151" t="s">
        <v>17</v>
      </c>
      <c r="Z113" s="152" t="s">
        <v>20</v>
      </c>
      <c r="AA113" s="153" t="s">
        <v>105</v>
      </c>
      <c r="AB113" s="244"/>
      <c r="AC113" s="332" t="s">
        <v>621</v>
      </c>
      <c r="AD113" s="340">
        <f>IFERROR(IF(U113="Probabilidad",(N113-(+N113*X113)),IF(U113="Impacto",N113,"")),"")</f>
        <v>0.6</v>
      </c>
      <c r="AE113" s="143" t="str">
        <f t="shared" si="39"/>
        <v>Media</v>
      </c>
      <c r="AF113" s="139">
        <f t="shared" si="40"/>
        <v>0.6</v>
      </c>
      <c r="AG113" s="143" t="str">
        <f>IFERROR(IF(AH113="","",IF(AH113&lt;=0.2,"Leve",IF(AH113&lt;=0.4,"Menor",IF(AH113&lt;=0.6,"Moderado",IF(AH113&lt;=0.8,"Mayor","Catastrófico"))))),"")</f>
        <v>Mayor</v>
      </c>
      <c r="AH113" s="139">
        <f>IFERROR(IF(U113="Impacto",(Q113-(+Q113*X113)),IF(U113="Probabilidad",Q113,"")),"")</f>
        <v>0.8</v>
      </c>
      <c r="AI113" s="213" t="str">
        <f t="shared" si="42"/>
        <v>Alto</v>
      </c>
      <c r="AJ113" s="213" t="str">
        <f>$AI$113</f>
        <v>Alto</v>
      </c>
      <c r="AK113" s="248" t="s">
        <v>119</v>
      </c>
    </row>
    <row r="114" spans="1:80" ht="180" customHeight="1" x14ac:dyDescent="0.2">
      <c r="A114" s="682"/>
      <c r="B114" s="796"/>
      <c r="C114" s="784"/>
      <c r="D114" s="649"/>
      <c r="E114" s="659"/>
      <c r="F114" s="576"/>
      <c r="G114" s="755"/>
      <c r="H114" s="654"/>
      <c r="I114" s="749"/>
      <c r="J114" s="751"/>
      <c r="K114" s="595"/>
      <c r="L114" s="642"/>
      <c r="M114" s="566"/>
      <c r="N114" s="568"/>
      <c r="O114" s="708"/>
      <c r="P114" s="566"/>
      <c r="Q114" s="568"/>
      <c r="R114" s="564"/>
      <c r="S114" s="318">
        <v>2</v>
      </c>
      <c r="T114" s="267" t="s">
        <v>372</v>
      </c>
      <c r="U114" s="154" t="str">
        <f t="shared" si="43"/>
        <v>Probabilidad</v>
      </c>
      <c r="V114" s="149" t="s">
        <v>12</v>
      </c>
      <c r="W114" s="228" t="s">
        <v>7</v>
      </c>
      <c r="X114" s="163" t="str">
        <f t="shared" ref="X114:X119" si="44">IF(AND(V114="Preventivo",W114="Automático"),"50%",IF(AND(V114="Preventivo",W114="Manual"),"40%",IF(AND(V114="Detectivo",W114="Automático"),"40%",IF(AND(V114="Detectivo",W114="Manual"),"30%",IF(AND(V114="Correctivo",W114="Automático"),"35%",IF(AND(V114="Correctivo",W114="Manual"),"25%",""))))))</f>
        <v>40%</v>
      </c>
      <c r="Y114" s="164" t="s">
        <v>17</v>
      </c>
      <c r="Z114" s="165" t="s">
        <v>20</v>
      </c>
      <c r="AA114" s="166" t="s">
        <v>105</v>
      </c>
      <c r="AB114" s="262"/>
      <c r="AC114" s="211" t="s">
        <v>622</v>
      </c>
      <c r="AD114" s="141">
        <v>0.6</v>
      </c>
      <c r="AE114" s="143" t="str">
        <f t="shared" si="39"/>
        <v>Media</v>
      </c>
      <c r="AF114" s="139">
        <f t="shared" si="40"/>
        <v>0.6</v>
      </c>
      <c r="AG114" s="143" t="str">
        <f>IFERROR(IF(AH114="","",IF(AH114&lt;=0.2,"Leve",IF(AH114&lt;=0.4,"Menor",IF(AH114&lt;=0.6,"Moderado",IF(AH114&lt;=0.8,"Mayor","Catastrófico"))))),"")</f>
        <v>Mayor</v>
      </c>
      <c r="AH114" s="139">
        <v>0.8</v>
      </c>
      <c r="AI114" s="213" t="str">
        <f t="shared" si="42"/>
        <v>Alto</v>
      </c>
      <c r="AJ114" s="213" t="str">
        <f>$AI$113</f>
        <v>Alto</v>
      </c>
      <c r="AK114" s="248" t="s">
        <v>119</v>
      </c>
    </row>
    <row r="115" spans="1:80" ht="199.5" customHeight="1" x14ac:dyDescent="0.2">
      <c r="A115" s="682"/>
      <c r="B115" s="796"/>
      <c r="C115" s="784"/>
      <c r="D115" s="649"/>
      <c r="E115" s="658">
        <v>54</v>
      </c>
      <c r="F115" s="575" t="s">
        <v>739</v>
      </c>
      <c r="G115" s="758" t="s">
        <v>730</v>
      </c>
      <c r="H115" s="575" t="s">
        <v>731</v>
      </c>
      <c r="I115" s="653" t="s">
        <v>393</v>
      </c>
      <c r="J115" s="592" t="s">
        <v>231</v>
      </c>
      <c r="K115" s="594" t="s">
        <v>199</v>
      </c>
      <c r="L115" s="605">
        <v>12476075</v>
      </c>
      <c r="M115" s="565" t="str">
        <f t="shared" si="34"/>
        <v>Muy Alta</v>
      </c>
      <c r="N115" s="567">
        <f t="shared" si="35"/>
        <v>1</v>
      </c>
      <c r="O115" s="707" t="s">
        <v>104</v>
      </c>
      <c r="P115" s="565" t="str">
        <f>IF(OR(O115='6.Tabla Impacto'!$C$11,O115='6.Tabla Impacto'!$D$11),"Leve",IF(OR(O115='6.Tabla Impacto'!$C$12,O115='6.Tabla Impacto'!$D$12),"Menor",IF(OR(O115='6.Tabla Impacto'!$C$13,O115='6.Tabla Impacto'!$D$13),"Moderado",IF(OR(O115='6.Tabla Impacto'!$C$14,O115='6.Tabla Impacto'!$D$14),"Mayor",IF(OR(O115='6.Tabla Impacto'!$C$15,O115='6.Tabla Impacto'!$D$15),"Catastrófico","")))))</f>
        <v>Mayor</v>
      </c>
      <c r="Q115" s="567">
        <f t="shared" si="36"/>
        <v>0.8</v>
      </c>
      <c r="R115" s="562" t="str">
        <f t="shared" si="37"/>
        <v>Alto</v>
      </c>
      <c r="S115" s="219">
        <v>1</v>
      </c>
      <c r="T115" s="375" t="s">
        <v>732</v>
      </c>
      <c r="U115" s="140" t="str">
        <f t="shared" si="43"/>
        <v>Probabilidad</v>
      </c>
      <c r="V115" s="248" t="s">
        <v>12</v>
      </c>
      <c r="W115" s="248" t="s">
        <v>7</v>
      </c>
      <c r="X115" s="139" t="str">
        <f t="shared" si="44"/>
        <v>40%</v>
      </c>
      <c r="Y115" s="248" t="s">
        <v>17</v>
      </c>
      <c r="Z115" s="248" t="s">
        <v>20</v>
      </c>
      <c r="AA115" s="248" t="s">
        <v>105</v>
      </c>
      <c r="AB115" s="353"/>
      <c r="AC115" s="317" t="s">
        <v>735</v>
      </c>
      <c r="AD115" s="141">
        <v>0.6</v>
      </c>
      <c r="AE115" s="143" t="str">
        <f t="shared" si="39"/>
        <v>Media</v>
      </c>
      <c r="AF115" s="139">
        <f t="shared" si="40"/>
        <v>0.6</v>
      </c>
      <c r="AG115" s="342" t="str">
        <f t="shared" si="41"/>
        <v>Mayor</v>
      </c>
      <c r="AH115" s="139">
        <v>0.8</v>
      </c>
      <c r="AI115" s="213" t="str">
        <f t="shared" si="42"/>
        <v>Alto</v>
      </c>
      <c r="AJ115" s="213" t="str">
        <f>$AI$113</f>
        <v>Alto</v>
      </c>
      <c r="AK115" s="248" t="s">
        <v>119</v>
      </c>
    </row>
    <row r="116" spans="1:80" ht="172.5" customHeight="1" x14ac:dyDescent="0.2">
      <c r="A116" s="682"/>
      <c r="B116" s="796"/>
      <c r="C116" s="784"/>
      <c r="D116" s="650"/>
      <c r="E116" s="659"/>
      <c r="F116" s="576"/>
      <c r="G116" s="759"/>
      <c r="H116" s="576"/>
      <c r="I116" s="654"/>
      <c r="J116" s="655"/>
      <c r="K116" s="595"/>
      <c r="L116" s="606"/>
      <c r="M116" s="566"/>
      <c r="N116" s="568"/>
      <c r="O116" s="708"/>
      <c r="P116" s="566"/>
      <c r="Q116" s="568"/>
      <c r="R116" s="564"/>
      <c r="S116" s="219">
        <v>2</v>
      </c>
      <c r="T116" s="375" t="s">
        <v>733</v>
      </c>
      <c r="U116" s="140" t="str">
        <f>IF(OR(V116="Preventivo",V116="Detectivo"),"Probabilidad",IF(V116="Correctivo","Impacto",""))</f>
        <v>Probabilidad</v>
      </c>
      <c r="V116" s="248" t="s">
        <v>12</v>
      </c>
      <c r="W116" s="248" t="s">
        <v>7</v>
      </c>
      <c r="X116" s="139" t="str">
        <f t="shared" si="44"/>
        <v>40%</v>
      </c>
      <c r="Y116" s="248" t="s">
        <v>17</v>
      </c>
      <c r="Z116" s="248" t="s">
        <v>20</v>
      </c>
      <c r="AA116" s="248" t="s">
        <v>105</v>
      </c>
      <c r="AB116" s="353"/>
      <c r="AC116" s="364" t="s">
        <v>734</v>
      </c>
      <c r="AD116" s="141">
        <v>0.6</v>
      </c>
      <c r="AE116" s="143" t="str">
        <f t="shared" si="39"/>
        <v>Media</v>
      </c>
      <c r="AF116" s="139">
        <f t="shared" si="40"/>
        <v>0.6</v>
      </c>
      <c r="AG116" s="342" t="str">
        <f t="shared" si="41"/>
        <v>Mayor</v>
      </c>
      <c r="AH116" s="139">
        <v>0.8</v>
      </c>
      <c r="AI116" s="213" t="s">
        <v>67</v>
      </c>
      <c r="AJ116" s="213" t="str">
        <f>$AI$113</f>
        <v>Alto</v>
      </c>
      <c r="AK116" s="248" t="s">
        <v>119</v>
      </c>
    </row>
    <row r="117" spans="1:80" ht="198.75" customHeight="1" x14ac:dyDescent="0.2">
      <c r="A117" s="682"/>
      <c r="B117" s="796"/>
      <c r="C117" s="784"/>
      <c r="D117" s="648" t="s">
        <v>301</v>
      </c>
      <c r="E117" s="658">
        <v>55</v>
      </c>
      <c r="F117" s="575" t="s">
        <v>929</v>
      </c>
      <c r="G117" s="653" t="s">
        <v>389</v>
      </c>
      <c r="H117" s="653" t="s">
        <v>302</v>
      </c>
      <c r="I117" s="653" t="s">
        <v>213</v>
      </c>
      <c r="J117" s="592" t="s">
        <v>109</v>
      </c>
      <c r="K117" s="594" t="s">
        <v>199</v>
      </c>
      <c r="L117" s="752">
        <f>10*365</f>
        <v>3650</v>
      </c>
      <c r="M117" s="565" t="str">
        <f t="shared" si="34"/>
        <v>Alta</v>
      </c>
      <c r="N117" s="717">
        <f t="shared" si="35"/>
        <v>0.8</v>
      </c>
      <c r="O117" s="645" t="s">
        <v>133</v>
      </c>
      <c r="P117" s="565" t="str">
        <f>IF(OR(O117='6.Tabla Impacto'!$C$11,O117='6.Tabla Impacto'!$D$11),"Leve",IF(OR(O117='6.Tabla Impacto'!$C$12,O117='6.Tabla Impacto'!$D$12),"Menor",IF(OR(O117='6.Tabla Impacto'!$C$13,O117='6.Tabla Impacto'!$D$13),"Moderado",IF(OR(O117='6.Tabla Impacto'!$C$14,O117='6.Tabla Impacto'!$D$14),"Mayor",IF(OR(O117='6.Tabla Impacto'!$C$15,O117='6.Tabla Impacto'!$D$15),"Catastrófico","")))))</f>
        <v>Mayor</v>
      </c>
      <c r="Q117" s="567">
        <f t="shared" si="36"/>
        <v>0.8</v>
      </c>
      <c r="R117" s="562" t="str">
        <f t="shared" si="37"/>
        <v>Alto</v>
      </c>
      <c r="S117" s="219">
        <v>1</v>
      </c>
      <c r="T117" s="267" t="s">
        <v>920</v>
      </c>
      <c r="U117" s="140" t="str">
        <f>IF(OR(V117="Preventivo",V117="Detectivo"),"Probabilidad",IF(V117="Correctivo","Impacto",""))</f>
        <v>Probabilidad</v>
      </c>
      <c r="V117" s="248" t="s">
        <v>12</v>
      </c>
      <c r="W117" s="248" t="s">
        <v>7</v>
      </c>
      <c r="X117" s="139" t="str">
        <f t="shared" si="44"/>
        <v>40%</v>
      </c>
      <c r="Y117" s="248" t="s">
        <v>17</v>
      </c>
      <c r="Z117" s="248" t="s">
        <v>20</v>
      </c>
      <c r="AA117" s="248" t="s">
        <v>105</v>
      </c>
      <c r="AB117" s="246"/>
      <c r="AC117" s="364" t="s">
        <v>921</v>
      </c>
      <c r="AD117" s="141">
        <f>IFERROR(IF(U117="Probabilidad",(N117-(+N117*X117)),IF(U117="Impacto",N117,"")),"")</f>
        <v>0.48</v>
      </c>
      <c r="AE117" s="143" t="str">
        <f t="shared" si="39"/>
        <v>Media</v>
      </c>
      <c r="AF117" s="139">
        <f t="shared" si="40"/>
        <v>0.48</v>
      </c>
      <c r="AG117" s="143" t="str">
        <f t="shared" si="41"/>
        <v>Mayor</v>
      </c>
      <c r="AH117" s="139">
        <f>IFERROR(IF(U117="Impacto",(Q117-(+Q117*X117)),IF(U117="Probabilidad",Q117,"")),"")</f>
        <v>0.8</v>
      </c>
      <c r="AI117" s="213" t="str">
        <f t="shared" ref="AI117:AI123" si="45">IFERROR(IF(OR(AND(AE117="Muy Baja",AG117="Leve"),AND(AE117="Muy Baja",AG117="Menor"),AND(AE117="Baja",AG117="Leve")),"Bajo",IF(OR(AND(AE117="Muy baja",AG117="Moderado"),AND(AE117="Baja",AG117="Menor"),AND(AE117="Baja",AG117="Moderado"),AND(AE117="Media",AG117="Leve"),AND(AE117="Media",AG117="Menor"),AND(AE117="Media",AG117="Moderado"),AND(AE117="Alta",AG117="Leve"),AND(AE117="Alta",AG117="Menor")),"Moderado",IF(OR(AND(AE117="Muy Baja",AG117="Mayor"),AND(AE117="Baja",AG117="Mayor"),AND(AE117="Media",AG117="Mayor"),AND(AE117="Alta",AG117="Moderado"),AND(AE117="Alta",AG117="Mayor"),AND(AE117="Muy Alta",AG117="Leve"),AND(AE117="Muy Alta",AG117="Menor"),AND(AE117="Muy Alta",AG117="Moderado"),AND(AE117="Muy Alta",AG117="Mayor")),"Alto",IF(OR(AND(AE117="Muy Baja",AG117="Catastrófico"),AND(AE117="Baja",AG117="Catastrófico"),AND(AE117="Media",AG117="Catastrófico"),AND(AE117="Alta",AG117="Catastrófico"),AND(AE117="Muy Alta",AG117="Catastrófico")),"Extremo","")))),"")</f>
        <v>Alto</v>
      </c>
      <c r="AJ117" s="352" t="str">
        <f t="shared" ref="AJ117:AJ121" si="46">AI117</f>
        <v>Alto</v>
      </c>
      <c r="AK117" s="248" t="s">
        <v>119</v>
      </c>
    </row>
    <row r="118" spans="1:80" ht="136.5" customHeight="1" x14ac:dyDescent="0.2">
      <c r="A118" s="682"/>
      <c r="B118" s="796"/>
      <c r="C118" s="784"/>
      <c r="D118" s="649"/>
      <c r="E118" s="659"/>
      <c r="F118" s="576"/>
      <c r="G118" s="654"/>
      <c r="H118" s="654"/>
      <c r="I118" s="654"/>
      <c r="J118" s="655"/>
      <c r="K118" s="595"/>
      <c r="L118" s="753"/>
      <c r="M118" s="566"/>
      <c r="N118" s="718"/>
      <c r="O118" s="706"/>
      <c r="P118" s="566"/>
      <c r="Q118" s="568"/>
      <c r="R118" s="564"/>
      <c r="S118" s="156">
        <v>2</v>
      </c>
      <c r="T118" s="267" t="s">
        <v>373</v>
      </c>
      <c r="U118" s="157" t="str">
        <f t="shared" si="43"/>
        <v>Probabilidad</v>
      </c>
      <c r="V118" s="322" t="s">
        <v>12</v>
      </c>
      <c r="W118" s="322" t="s">
        <v>7</v>
      </c>
      <c r="X118" s="325" t="str">
        <f t="shared" si="44"/>
        <v>40%</v>
      </c>
      <c r="Y118" s="338" t="s">
        <v>17</v>
      </c>
      <c r="Z118" s="339" t="s">
        <v>20</v>
      </c>
      <c r="AA118" s="136" t="s">
        <v>105</v>
      </c>
      <c r="AB118" s="244"/>
      <c r="AC118" s="364" t="s">
        <v>374</v>
      </c>
      <c r="AD118" s="141">
        <v>0.48</v>
      </c>
      <c r="AE118" s="143" t="str">
        <f t="shared" si="39"/>
        <v>Media</v>
      </c>
      <c r="AF118" s="325">
        <f t="shared" si="40"/>
        <v>0.48</v>
      </c>
      <c r="AG118" s="343" t="str">
        <f t="shared" si="41"/>
        <v>Mayor</v>
      </c>
      <c r="AH118" s="325">
        <v>0.8</v>
      </c>
      <c r="AI118" s="352" t="str">
        <f t="shared" si="45"/>
        <v>Alto</v>
      </c>
      <c r="AJ118" s="213" t="str">
        <f t="shared" si="46"/>
        <v>Alto</v>
      </c>
      <c r="AK118" s="248" t="s">
        <v>119</v>
      </c>
    </row>
    <row r="119" spans="1:80" ht="160.5" customHeight="1" x14ac:dyDescent="0.2">
      <c r="A119" s="682"/>
      <c r="B119" s="796"/>
      <c r="C119" s="784"/>
      <c r="D119" s="649"/>
      <c r="E119" s="201">
        <v>56</v>
      </c>
      <c r="F119" s="267" t="s">
        <v>923</v>
      </c>
      <c r="G119" s="263" t="s">
        <v>922</v>
      </c>
      <c r="H119" s="263" t="s">
        <v>303</v>
      </c>
      <c r="I119" s="219" t="s">
        <v>201</v>
      </c>
      <c r="J119" s="176" t="s">
        <v>109</v>
      </c>
      <c r="K119" s="219" t="s">
        <v>199</v>
      </c>
      <c r="L119" s="221">
        <f>365*18</f>
        <v>6570</v>
      </c>
      <c r="M119" s="222" t="str">
        <f>IF(L119&lt;=0,"",IF(L119&lt;=2,"Muy Baja",IF(L119&lt;=24,"Baja",IF(L119&lt;=500,"Media",IF(L119&lt;=5000,"Alta","Muy Alta")))))</f>
        <v>Muy Alta</v>
      </c>
      <c r="N119" s="316">
        <f>IF(M119="","",IF(M119="Muy Baja",0.2,IF(M119="Baja",0.4,IF(M119="Media",0.6,IF(M119="Alta",0.8,IF(M119="Muy Alta",1,))))))</f>
        <v>1</v>
      </c>
      <c r="O119" s="376" t="s">
        <v>104</v>
      </c>
      <c r="P119" s="217" t="str">
        <f>IF(OR(O119='6.Tabla Impacto'!$C$11,O119='6.Tabla Impacto'!$D$11),"Leve",IF(OR(O119='6.Tabla Impacto'!$C$12,O119='6.Tabla Impacto'!$D$12),"Menor",IF(OR(O119='6.Tabla Impacto'!$C$13,O119='6.Tabla Impacto'!$D$13),"Moderado",IF(OR(O119='6.Tabla Impacto'!$C$14,O119='6.Tabla Impacto'!$D$14),"Mayor",IF(OR(O119='6.Tabla Impacto'!$C$15,O119='6.Tabla Impacto'!$D$15),"Catastrófico","")))))</f>
        <v>Mayor</v>
      </c>
      <c r="Q119" s="350">
        <f>IF(P119="","",IF(P119="Leve",0.2,IF(P119="Menor",0.4,IF(P119="Moderado",0.6,IF(P119="Mayor",0.8,IF(P119="Catastrófico",1,))))))</f>
        <v>0.8</v>
      </c>
      <c r="R119" s="368" t="str">
        <f>IF(OR(AND(M119="Muy Baja",P119="Leve"),AND(M119="Muy Baja",P119="Menor"),AND(M119="Baja",P119="Leve")),"Bajo",IF(OR(AND(M119="Muy baja",P119="Moderado"),AND(M119="Baja",P119="Menor"),AND(M119="Baja",P119="Moderado"),AND(M119="Media",P119="Leve"),AND(M119="Media",P119="Menor"),AND(M119="Media",P119="Moderado"),AND(M119="Alta",P119="Leve"),AND(M119="Alta",P119="Menor")),"Moderado",IF(OR(AND(M119="Muy Baja",P119="Mayor"),AND(M119="Baja",P119="Mayor"),AND(M119="Media",P119="Mayor"),AND(M119="Alta",P119="Moderado"),AND(M119="Alta",P119="Mayor"),AND(M119="Muy Alta",P119="Leve"),AND(M119="Muy Alta",P119="Menor"),AND(M119="Muy Alta",P119="Moderado"),AND(M119="Muy Alta",P119="Mayor")),"Alto",IF(OR(AND(M119="Muy Baja",P119="Catastrófico"),AND(M119="Baja",P119="Catastrófico"),AND(M119="Media",P119="Catastrófico"),AND(M119="Alta",P119="Catastrófico"),AND(M119="Muy Alta",P119="Catastrófico")),"Extremo",""))))</f>
        <v>Alto</v>
      </c>
      <c r="S119" s="168">
        <v>1</v>
      </c>
      <c r="T119" s="267" t="s">
        <v>924</v>
      </c>
      <c r="U119" s="159" t="str">
        <f t="shared" ref="U119:U123" si="47">IF(OR(V119="Preventivo",V119="Detectivo"),"Probabilidad",IF(V119="Correctivo","Impacto",""))</f>
        <v>Probabilidad</v>
      </c>
      <c r="V119" s="149" t="s">
        <v>12</v>
      </c>
      <c r="W119" s="149" t="s">
        <v>7</v>
      </c>
      <c r="X119" s="150" t="str">
        <f t="shared" si="44"/>
        <v>40%</v>
      </c>
      <c r="Y119" s="151" t="s">
        <v>17</v>
      </c>
      <c r="Z119" s="152" t="s">
        <v>20</v>
      </c>
      <c r="AA119" s="153" t="s">
        <v>105</v>
      </c>
      <c r="AB119" s="244"/>
      <c r="AC119" s="332" t="s">
        <v>529</v>
      </c>
      <c r="AD119" s="188">
        <f>IFERROR(IF(U119="Probabilidad",(N119-(+N119*X119)),IF(U119="Impacto",N119,"")),"")</f>
        <v>0.6</v>
      </c>
      <c r="AE119" s="147" t="str">
        <f t="shared" ref="AE119:AE128" si="48">IFERROR(IF(AD119="","",IF(AD119&lt;=0.2,"Muy Baja",IF(AD119&lt;=0.4,"Baja",IF(AD119&lt;=0.6,"Media",IF(AD119&lt;=0.8,"Alta","Muy Alta"))))),"")</f>
        <v>Media</v>
      </c>
      <c r="AF119" s="139">
        <f t="shared" ref="AF119:AF122" si="49">+AD119</f>
        <v>0.6</v>
      </c>
      <c r="AG119" s="143" t="str">
        <f t="shared" ref="AG119:AG122" si="50">IFERROR(IF(AH119="","",IF(AH119&lt;=0.2,"Leve",IF(AH119&lt;=0.4,"Menor",IF(AH119&lt;=0.6,"Moderado",IF(AH119&lt;=0.8,"Mayor","Catastrófico"))))),"")</f>
        <v>Mayor</v>
      </c>
      <c r="AH119" s="139">
        <f>IFERROR(IF(U119="Impacto",(Q119-(+Q119*X119)),IF(U119="Probabilidad",Q119,"")),"")</f>
        <v>0.8</v>
      </c>
      <c r="AI119" s="213" t="str">
        <f t="shared" si="45"/>
        <v>Alto</v>
      </c>
      <c r="AJ119" s="213" t="str">
        <f t="shared" si="46"/>
        <v>Alto</v>
      </c>
      <c r="AK119" s="248" t="s">
        <v>119</v>
      </c>
    </row>
    <row r="120" spans="1:80" ht="118.5" customHeight="1" x14ac:dyDescent="0.2">
      <c r="A120" s="682"/>
      <c r="B120" s="796"/>
      <c r="C120" s="784"/>
      <c r="D120" s="649"/>
      <c r="E120" s="345">
        <v>57</v>
      </c>
      <c r="F120" s="312" t="s">
        <v>925</v>
      </c>
      <c r="G120" s="330" t="s">
        <v>926</v>
      </c>
      <c r="H120" s="330" t="s">
        <v>304</v>
      </c>
      <c r="I120" s="366" t="s">
        <v>197</v>
      </c>
      <c r="J120" s="359" t="s">
        <v>231</v>
      </c>
      <c r="K120" s="366" t="s">
        <v>199</v>
      </c>
      <c r="L120" s="300">
        <f>365*43</f>
        <v>15695</v>
      </c>
      <c r="M120" s="299" t="str">
        <f>IF(L120&lt;=0,"",IF(L120&lt;=2,"Muy Baja",IF(L120&lt;=24,"Baja",IF(L120&lt;=500,"Media",IF(L120&lt;=5000,"Alta","Muy Alta")))))</f>
        <v>Muy Alta</v>
      </c>
      <c r="N120" s="307">
        <f>IF(M120="","",IF(M120="Muy Baja",0.2,IF(M120="Baja",0.4,IF(M120="Media",0.6,IF(M120="Alta",0.8,IF(M120="Muy Alta",1,))))))</f>
        <v>1</v>
      </c>
      <c r="O120" s="385" t="s">
        <v>104</v>
      </c>
      <c r="P120" s="306" t="str">
        <f>IF(OR(O120='6.Tabla Impacto'!$C$11,O120='6.Tabla Impacto'!$D$11),"Leve",IF(OR(O120='6.Tabla Impacto'!$C$12,O120='6.Tabla Impacto'!$D$12),"Menor",IF(OR(O120='6.Tabla Impacto'!$C$13,O120='6.Tabla Impacto'!$D$13),"Moderado",IF(OR(O120='6.Tabla Impacto'!$C$14,O120='6.Tabla Impacto'!$D$14),"Mayor",IF(OR(O120='6.Tabla Impacto'!$C$15,O120='6.Tabla Impacto'!$D$15),"Catastrófico","")))))</f>
        <v>Mayor</v>
      </c>
      <c r="Q120" s="349">
        <f>IF(P120="","",IF(P120="Leve",0.2,IF(P120="Menor",0.4,IF(P120="Moderado",0.6,IF(P120="Mayor",0.8,IF(P120="Catastrófico",1,))))))</f>
        <v>0.8</v>
      </c>
      <c r="R120" s="371" t="str">
        <f>IF(OR(AND(M120="Muy Baja",P120="Leve"),AND(M120="Muy Baja",P120="Menor"),AND(M120="Baja",P120="Leve")),"Bajo",IF(OR(AND(M120="Muy baja",P120="Moderado"),AND(M120="Baja",P120="Menor"),AND(M120="Baja",P120="Moderado"),AND(M120="Media",P120="Leve"),AND(M120="Media",P120="Menor"),AND(M120="Media",P120="Moderado"),AND(M120="Alta",P120="Leve"),AND(M120="Alta",P120="Menor")),"Moderado",IF(OR(AND(M120="Muy Baja",P120="Mayor"),AND(M120="Baja",P120="Mayor"),AND(M120="Media",P120="Mayor"),AND(M120="Alta",P120="Moderado"),AND(M120="Alta",P120="Mayor"),AND(M120="Muy Alta",P120="Leve"),AND(M120="Muy Alta",P120="Menor"),AND(M120="Muy Alta",P120="Moderado"),AND(M120="Muy Alta",P120="Mayor")),"Alto",IF(OR(AND(M120="Muy Baja",P120="Catastrófico"),AND(M120="Baja",P120="Catastrófico"),AND(M120="Media",P120="Catastrófico"),AND(M120="Alta",P120="Catastrófico"),AND(M120="Muy Alta",P120="Catastrófico")),"Extremo",""))))</f>
        <v>Alto</v>
      </c>
      <c r="S120" s="161">
        <v>1</v>
      </c>
      <c r="T120" s="267" t="s">
        <v>932</v>
      </c>
      <c r="U120" s="159" t="str">
        <f t="shared" si="47"/>
        <v>Probabilidad</v>
      </c>
      <c r="V120" s="149" t="s">
        <v>12</v>
      </c>
      <c r="W120" s="149" t="s">
        <v>7</v>
      </c>
      <c r="X120" s="150" t="str">
        <f t="shared" ref="X120:X130" si="51">IF(AND(V120="Preventivo",W120="Automático"),"50%",IF(AND(V120="Preventivo",W120="Manual"),"40%",IF(AND(V120="Detectivo",W120="Automático"),"40%",IF(AND(V120="Detectivo",W120="Manual"),"30%",IF(AND(V120="Correctivo",W120="Automático"),"35%",IF(AND(V120="Correctivo",W120="Manual"),"25%",""))))))</f>
        <v>40%</v>
      </c>
      <c r="Y120" s="151" t="s">
        <v>17</v>
      </c>
      <c r="Z120" s="152" t="s">
        <v>20</v>
      </c>
      <c r="AA120" s="153" t="s">
        <v>105</v>
      </c>
      <c r="AB120" s="244"/>
      <c r="AC120" s="332" t="s">
        <v>927</v>
      </c>
      <c r="AD120" s="188">
        <f>IFERROR(IF(U120="Probabilidad",(N120-(+N120*X120)),IF(U120="Impacto",N120,"")),"")</f>
        <v>0.6</v>
      </c>
      <c r="AE120" s="147" t="str">
        <f t="shared" si="48"/>
        <v>Media</v>
      </c>
      <c r="AF120" s="139">
        <f t="shared" si="49"/>
        <v>0.6</v>
      </c>
      <c r="AG120" s="143" t="str">
        <f t="shared" si="50"/>
        <v>Mayor</v>
      </c>
      <c r="AH120" s="139">
        <f>IFERROR(IF(U120="Impacto",(Q120-(+Q120*X120)),IF(U120="Probabilidad",Q120,"")),"")</f>
        <v>0.8</v>
      </c>
      <c r="AI120" s="213" t="str">
        <f t="shared" si="45"/>
        <v>Alto</v>
      </c>
      <c r="AJ120" s="213" t="str">
        <f t="shared" si="46"/>
        <v>Alto</v>
      </c>
      <c r="AK120" s="248" t="s">
        <v>119</v>
      </c>
    </row>
    <row r="121" spans="1:80" ht="178.5" customHeight="1" x14ac:dyDescent="0.2">
      <c r="A121" s="682"/>
      <c r="B121" s="796"/>
      <c r="C121" s="784"/>
      <c r="D121" s="649"/>
      <c r="E121" s="201">
        <v>58</v>
      </c>
      <c r="F121" s="267" t="s">
        <v>928</v>
      </c>
      <c r="G121" s="263" t="s">
        <v>305</v>
      </c>
      <c r="H121" s="263" t="s">
        <v>281</v>
      </c>
      <c r="I121" s="263" t="s">
        <v>213</v>
      </c>
      <c r="J121" s="176" t="s">
        <v>109</v>
      </c>
      <c r="K121" s="219" t="s">
        <v>199</v>
      </c>
      <c r="L121" s="370">
        <v>365</v>
      </c>
      <c r="M121" s="217" t="str">
        <f>IF(L121&lt;=0,"",IF(L121&lt;=2,"Muy Baja",IF(L121&lt;=24,"Baja",IF(L121&lt;=500,"Media",IF(L121&lt;=5000,"Alta","Muy Alta")))))</f>
        <v>Media</v>
      </c>
      <c r="N121" s="356">
        <f>IF(M121="","",IF(M121="Muy Baja",0.2,IF(M121="Baja",0.4,IF(M121="Media",0.6,IF(M121="Alta",0.8,IF(M121="Muy Alta",1,))))))</f>
        <v>0.6</v>
      </c>
      <c r="O121" s="214" t="s">
        <v>132</v>
      </c>
      <c r="P121" s="217" t="str">
        <f>IF(OR(O121='6.Tabla Impacto'!$C$11,O121='6.Tabla Impacto'!$D$11),"Leve",IF(OR(O121='6.Tabla Impacto'!$C$12,O121='6.Tabla Impacto'!$D$12),"Menor",IF(OR(O121='6.Tabla Impacto'!$C$13,O121='6.Tabla Impacto'!$D$13),"Moderado",IF(OR(O121='6.Tabla Impacto'!$C$14,O121='6.Tabla Impacto'!$D$14),"Mayor",IF(OR(O121='6.Tabla Impacto'!$C$15,O121='6.Tabla Impacto'!$D$15),"Catastrófico","")))))</f>
        <v>Moderado</v>
      </c>
      <c r="Q121" s="225">
        <f>IF(P121="","",IF(P121="Leve",0.2,IF(P121="Menor",0.4,IF(P121="Moderado",0.6,IF(P121="Mayor",0.8,IF(P121="Catastrófico",1,))))))</f>
        <v>0.6</v>
      </c>
      <c r="R121" s="226" t="str">
        <f>IF(OR(AND(M121="Muy Baja",P121="Leve"),AND(M121="Muy Baja",P121="Menor"),AND(M121="Baja",P121="Leve")),"Bajo",IF(OR(AND(M121="Muy baja",P121="Moderado"),AND(M121="Baja",P121="Menor"),AND(M121="Baja",P121="Moderado"),AND(M121="Media",P121="Leve"),AND(M121="Media",P121="Menor"),AND(M121="Media",P121="Moderado"),AND(M121="Alta",P121="Leve"),AND(M121="Alta",P121="Menor")),"Moderado",IF(OR(AND(M121="Muy Baja",P121="Mayor"),AND(M121="Baja",P121="Mayor"),AND(M121="Media",P121="Mayor"),AND(M121="Alta",P121="Moderado"),AND(M121="Alta",P121="Mayor"),AND(M121="Muy Alta",P121="Leve"),AND(M121="Muy Alta",P121="Menor"),AND(M121="Muy Alta",P121="Moderado"),AND(M121="Muy Alta",P121="Mayor")),"Alto",IF(OR(AND(M121="Muy Baja",P121="Catastrófico"),AND(M121="Baja",P121="Catastrófico"),AND(M121="Media",P121="Catastrófico"),AND(M121="Alta",P121="Catastrófico"),AND(M121="Muy Alta",P121="Catastrófico")),"Extremo",""))))</f>
        <v>Moderado</v>
      </c>
      <c r="S121" s="161">
        <v>1</v>
      </c>
      <c r="T121" s="267" t="s">
        <v>933</v>
      </c>
      <c r="U121" s="159" t="str">
        <f t="shared" si="47"/>
        <v>Probabilidad</v>
      </c>
      <c r="V121" s="149" t="s">
        <v>12</v>
      </c>
      <c r="W121" s="149" t="s">
        <v>7</v>
      </c>
      <c r="X121" s="150" t="str">
        <f t="shared" si="51"/>
        <v>40%</v>
      </c>
      <c r="Y121" s="151" t="s">
        <v>17</v>
      </c>
      <c r="Z121" s="152" t="s">
        <v>20</v>
      </c>
      <c r="AA121" s="153" t="s">
        <v>105</v>
      </c>
      <c r="AB121" s="244"/>
      <c r="AC121" s="332" t="s">
        <v>948</v>
      </c>
      <c r="AD121" s="188">
        <v>0.6</v>
      </c>
      <c r="AE121" s="147" t="str">
        <f t="shared" si="48"/>
        <v>Media</v>
      </c>
      <c r="AF121" s="139">
        <f t="shared" si="49"/>
        <v>0.6</v>
      </c>
      <c r="AG121" s="143" t="str">
        <f t="shared" si="50"/>
        <v>Moderado</v>
      </c>
      <c r="AH121" s="139">
        <f>IFERROR(IF(U121="Impacto",(Q121-(+Q121*X121)),IF(U121="Probabilidad",Q121,"")),"")</f>
        <v>0.6</v>
      </c>
      <c r="AI121" s="213" t="str">
        <f t="shared" si="45"/>
        <v>Moderado</v>
      </c>
      <c r="AJ121" s="213" t="str">
        <f t="shared" si="46"/>
        <v>Moderado</v>
      </c>
      <c r="AK121" s="248" t="s">
        <v>119</v>
      </c>
    </row>
    <row r="122" spans="1:80" ht="182.25" customHeight="1" x14ac:dyDescent="0.2">
      <c r="A122" s="682"/>
      <c r="B122" s="796"/>
      <c r="C122" s="784"/>
      <c r="D122" s="649"/>
      <c r="E122" s="658">
        <v>59</v>
      </c>
      <c r="F122" s="575" t="s">
        <v>740</v>
      </c>
      <c r="G122" s="653" t="s">
        <v>741</v>
      </c>
      <c r="H122" s="653" t="s">
        <v>742</v>
      </c>
      <c r="I122" s="747" t="s">
        <v>392</v>
      </c>
      <c r="J122" s="750" t="s">
        <v>109</v>
      </c>
      <c r="K122" s="594" t="s">
        <v>199</v>
      </c>
      <c r="L122" s="605">
        <v>7950</v>
      </c>
      <c r="M122" s="565" t="str">
        <f>IF(L122&lt;=0,"",IF(L122&lt;=2,"Muy Baja",IF(L122&lt;=24,"Baja",IF(L122&lt;=500,"Media",IF(L122&lt;=5000,"Alta","Muy Alta")))))</f>
        <v>Muy Alta</v>
      </c>
      <c r="N122" s="699">
        <f>IF(M122="","",IF(M122="Muy Baja",0.2,IF(M122="Baja",0.4,IF(M122="Media",0.6,IF(M122="Alta",0.8,IF(M122="Muy Alta",1,))))))</f>
        <v>1</v>
      </c>
      <c r="O122" s="645" t="s">
        <v>104</v>
      </c>
      <c r="P122" s="565" t="str">
        <f>IF(OR(O122='6.Tabla Impacto'!$C$11,O122='6.Tabla Impacto'!$D$11),"Leve",IF(OR(O122='6.Tabla Impacto'!$C$12,O122='6.Tabla Impacto'!$D$12),"Menor",IF(OR(O122='6.Tabla Impacto'!$C$13,O122='6.Tabla Impacto'!$D$13),"Moderado",IF(OR(O122='6.Tabla Impacto'!$C$14,O122='6.Tabla Impacto'!$D$14),"Mayor",IF(OR(O122='6.Tabla Impacto'!$C$15,O122='6.Tabla Impacto'!$D$15),"Catastrófico","")))))</f>
        <v>Mayor</v>
      </c>
      <c r="Q122" s="699">
        <f>IF(P122="","",IF(P122="Leve",0.2,IF(P122="Menor",0.4,IF(P122="Moderado",0.6,IF(P122="Mayor",0.8,IF(P122="Catastrófico",1,))))))</f>
        <v>0.8</v>
      </c>
      <c r="R122" s="860" t="str">
        <f>IF(OR(AND(M122="Muy Baja",P122="Leve"),AND(M122="Muy Baja",P122="Menor"),AND(M122="Baja",P122="Leve")),"Bajo",IF(OR(AND(M122="Muy baja",P122="Moderado"),AND(M122="Baja",P122="Menor"),AND(M122="Baja",P122="Moderado"),AND(M122="Media",P122="Leve"),AND(M122="Media",P122="Menor"),AND(M122="Media",P122="Moderado"),AND(M122="Alta",P122="Leve"),AND(M122="Alta",P122="Menor")),"Moderado",IF(OR(AND(M122="Muy Baja",P122="Mayor"),AND(M122="Baja",P122="Mayor"),AND(M122="Media",P122="Mayor"),AND(M122="Alta",P122="Moderado"),AND(M122="Alta",P122="Mayor"),AND(M122="Muy Alta",P122="Leve"),AND(M122="Muy Alta",P122="Menor"),AND(M122="Muy Alta",P122="Moderado"),AND(M122="Muy Alta",P122="Mayor")),"Alto",IF(OR(AND(M122="Muy Baja",P122="Catastrófico"),AND(M122="Baja",P122="Catastrófico"),AND(M122="Media",P122="Catastrófico"),AND(M122="Alta",P122="Catastrófico"),AND(M122="Muy Alta",P122="Catastrófico")),"Extremo",""))))</f>
        <v>Alto</v>
      </c>
      <c r="S122" s="161">
        <v>1</v>
      </c>
      <c r="T122" s="267" t="s">
        <v>743</v>
      </c>
      <c r="U122" s="159" t="str">
        <f t="shared" si="47"/>
        <v>Probabilidad</v>
      </c>
      <c r="V122" s="149" t="s">
        <v>12</v>
      </c>
      <c r="W122" s="149" t="s">
        <v>7</v>
      </c>
      <c r="X122" s="150" t="str">
        <f t="shared" si="51"/>
        <v>40%</v>
      </c>
      <c r="Y122" s="151" t="s">
        <v>17</v>
      </c>
      <c r="Z122" s="152" t="s">
        <v>20</v>
      </c>
      <c r="AA122" s="153" t="s">
        <v>105</v>
      </c>
      <c r="AB122" s="244"/>
      <c r="AC122" s="332" t="s">
        <v>535</v>
      </c>
      <c r="AD122" s="188">
        <f>IFERROR(IF(U122="Probabilidad",(N122-(+N122*X122)),IF(U122="Impacto",N122,"")),"")</f>
        <v>0.6</v>
      </c>
      <c r="AE122" s="147" t="str">
        <f t="shared" si="48"/>
        <v>Media</v>
      </c>
      <c r="AF122" s="139">
        <f t="shared" si="49"/>
        <v>0.6</v>
      </c>
      <c r="AG122" s="143" t="str">
        <f t="shared" si="50"/>
        <v>Mayor</v>
      </c>
      <c r="AH122" s="139">
        <f>IFERROR(IF(U122="Impacto",(Q122-(+Q122*X122)),IF(U122="Probabilidad",Q122,"")),"")</f>
        <v>0.8</v>
      </c>
      <c r="AI122" s="213" t="str">
        <f t="shared" si="45"/>
        <v>Alto</v>
      </c>
      <c r="AJ122" s="213" t="str">
        <f>$AI$123</f>
        <v>Alto</v>
      </c>
      <c r="AK122" s="248" t="s">
        <v>119</v>
      </c>
    </row>
    <row r="123" spans="1:80" ht="90.75" customHeight="1" x14ac:dyDescent="0.2">
      <c r="A123" s="682"/>
      <c r="B123" s="796"/>
      <c r="C123" s="784"/>
      <c r="D123" s="649"/>
      <c r="E123" s="692"/>
      <c r="F123" s="742"/>
      <c r="G123" s="661"/>
      <c r="H123" s="661"/>
      <c r="I123" s="748"/>
      <c r="J123" s="760"/>
      <c r="K123" s="609"/>
      <c r="L123" s="637"/>
      <c r="M123" s="572"/>
      <c r="N123" s="716"/>
      <c r="O123" s="713"/>
      <c r="P123" s="572"/>
      <c r="Q123" s="716"/>
      <c r="R123" s="861"/>
      <c r="S123" s="862">
        <v>2</v>
      </c>
      <c r="T123" s="575" t="s">
        <v>744</v>
      </c>
      <c r="U123" s="577" t="str">
        <f t="shared" si="47"/>
        <v>Probabilidad</v>
      </c>
      <c r="V123" s="598" t="s">
        <v>12</v>
      </c>
      <c r="W123" s="598" t="s">
        <v>7</v>
      </c>
      <c r="X123" s="603" t="str">
        <f t="shared" si="51"/>
        <v>40%</v>
      </c>
      <c r="Y123" s="573" t="s">
        <v>17</v>
      </c>
      <c r="Z123" s="596" t="s">
        <v>20</v>
      </c>
      <c r="AA123" s="598" t="s">
        <v>105</v>
      </c>
      <c r="AB123" s="714"/>
      <c r="AC123" s="592" t="s">
        <v>934</v>
      </c>
      <c r="AD123" s="635">
        <v>0.6</v>
      </c>
      <c r="AE123" s="711" t="str">
        <f t="shared" si="48"/>
        <v>Media</v>
      </c>
      <c r="AF123" s="603">
        <f t="shared" ref="AF123:AF142" si="52">+AD123</f>
        <v>0.6</v>
      </c>
      <c r="AG123" s="677" t="str">
        <f t="shared" ref="AG123:AG140" si="53">IFERROR(IF(AH123="","",IF(AH123&lt;=0.2,"Leve",IF(AH123&lt;=0.4,"Menor",IF(AH123&lt;=0.6,"Moderado",IF(AH123&lt;=0.8,"Mayor","Catastrófico"))))),"")</f>
        <v>Mayor</v>
      </c>
      <c r="AH123" s="603">
        <f>IFERROR(IF(AND(U122="Impacto",U123="Impacto"),(AH122-(+AH122*X123)),IF(U123="Impacto",($N$51-(+$N$51*X123)),IF(U123="Probabilidad",AH122,""))),"")</f>
        <v>0.8</v>
      </c>
      <c r="AI123" s="720" t="str">
        <f t="shared" si="45"/>
        <v>Alto</v>
      </c>
      <c r="AJ123" s="720" t="str">
        <f>$AI$123</f>
        <v>Alto</v>
      </c>
      <c r="AK123" s="598" t="s">
        <v>119</v>
      </c>
    </row>
    <row r="124" spans="1:80" ht="102.75" customHeight="1" x14ac:dyDescent="0.2">
      <c r="A124" s="682"/>
      <c r="B124" s="796"/>
      <c r="C124" s="784"/>
      <c r="D124" s="649"/>
      <c r="E124" s="659"/>
      <c r="F124" s="576"/>
      <c r="G124" s="654"/>
      <c r="H124" s="654"/>
      <c r="I124" s="749"/>
      <c r="J124" s="751"/>
      <c r="K124" s="595"/>
      <c r="L124" s="606"/>
      <c r="M124" s="566"/>
      <c r="N124" s="691"/>
      <c r="O124" s="706"/>
      <c r="P124" s="566"/>
      <c r="Q124" s="716"/>
      <c r="R124" s="736"/>
      <c r="S124" s="863"/>
      <c r="T124" s="576"/>
      <c r="U124" s="578"/>
      <c r="V124" s="602"/>
      <c r="W124" s="602"/>
      <c r="X124" s="634"/>
      <c r="Y124" s="673"/>
      <c r="Z124" s="674"/>
      <c r="AA124" s="602"/>
      <c r="AB124" s="715"/>
      <c r="AC124" s="655"/>
      <c r="AD124" s="636"/>
      <c r="AE124" s="712"/>
      <c r="AF124" s="634"/>
      <c r="AG124" s="678"/>
      <c r="AH124" s="634"/>
      <c r="AI124" s="721"/>
      <c r="AJ124" s="721"/>
      <c r="AK124" s="602"/>
    </row>
    <row r="125" spans="1:80" s="134" customFormat="1" ht="244.5" customHeight="1" x14ac:dyDescent="0.2">
      <c r="A125" s="682"/>
      <c r="B125" s="796"/>
      <c r="C125" s="784"/>
      <c r="D125" s="650"/>
      <c r="E125" s="346">
        <v>60</v>
      </c>
      <c r="F125" s="312" t="s">
        <v>745</v>
      </c>
      <c r="G125" s="330" t="s">
        <v>938</v>
      </c>
      <c r="H125" s="330" t="s">
        <v>746</v>
      </c>
      <c r="I125" s="365" t="s">
        <v>393</v>
      </c>
      <c r="J125" s="317" t="s">
        <v>219</v>
      </c>
      <c r="K125" s="318" t="s">
        <v>234</v>
      </c>
      <c r="L125" s="324">
        <v>7950</v>
      </c>
      <c r="M125" s="306" t="str">
        <f>IF(L125&lt;=0,"",IF(L125&lt;=2,"Muy Baja",IF(L125&lt;=24,"Baja",IF(L125&lt;=500,"Media",IF(L125&lt;=5000,"Alta","Muy Alta")))))</f>
        <v>Muy Alta</v>
      </c>
      <c r="N125" s="349">
        <f t="shared" ref="N125" si="54">IF(M125="","",IF(M125="Muy Baja",0.2,IF(M125="Baja",0.4,IF(M125="Media",0.6,IF(M125="Alta",0.8,IF(M125="Muy Alta",1,))))))</f>
        <v>1</v>
      </c>
      <c r="O125" s="328" t="s">
        <v>104</v>
      </c>
      <c r="P125" s="217" t="str">
        <f>IF(OR(O125='6.Tabla Impacto'!$C$11,O125='6.Tabla Impacto'!$D$11),"Leve",IF(OR(O125='6.Tabla Impacto'!$C$12,O125='6.Tabla Impacto'!$D$12),"Menor",IF(OR(O125='6.Tabla Impacto'!$C$13,O125='6.Tabla Impacto'!$D$13),"Moderado",IF(OR(O125='6.Tabla Impacto'!$C$14,O125='6.Tabla Impacto'!$D$14),"Mayor",IF(OR(O125='6.Tabla Impacto'!$C$15,O125='6.Tabla Impacto'!$D$15),"Catastrófico","")))))</f>
        <v>Mayor</v>
      </c>
      <c r="Q125" s="214">
        <f t="shared" ref="Q125" si="55">IF(P125="","",IF(P125="Leve",0.2,IF(P125="Menor",0.4,IF(P125="Moderado",0.6,IF(P125="Mayor",0.8,IF(P125="Catastrófico",1,))))))</f>
        <v>0.8</v>
      </c>
      <c r="R125" s="386" t="str">
        <f t="shared" ref="R125" si="56">IF(OR(AND(M125="Muy Baja",P125="Leve"),AND(M125="Muy Baja",P125="Menor"),AND(M125="Baja",P125="Leve")),"Bajo",IF(OR(AND(M125="Muy baja",P125="Moderado"),AND(M125="Baja",P125="Menor"),AND(M125="Baja",P125="Moderado"),AND(M125="Media",P125="Leve"),AND(M125="Media",P125="Menor"),AND(M125="Media",P125="Moderado"),AND(M125="Alta",P125="Leve"),AND(M125="Alta",P125="Menor")),"Moderado",IF(OR(AND(M125="Muy Baja",P125="Mayor"),AND(M125="Baja",P125="Mayor"),AND(M125="Media",P125="Mayor"),AND(M125="Alta",P125="Moderado"),AND(M125="Alta",P125="Mayor"),AND(M125="Muy Alta",P125="Leve"),AND(M125="Muy Alta",P125="Menor"),AND(M125="Muy Alta",P125="Moderado"),AND(M125="Muy Alta",P125="Mayor")),"Alto",IF(OR(AND(M125="Muy Baja",P125="Catastrófico"),AND(M125="Baja",P125="Catastrófico"),AND(M125="Media",P125="Catastrófico"),AND(M125="Alta",P125="Catastrófico"),AND(M125="Muy Alta",P125="Catastrófico")),"Extremo",""))))</f>
        <v>Alto</v>
      </c>
      <c r="S125" s="273">
        <v>1</v>
      </c>
      <c r="T125" s="312" t="s">
        <v>747</v>
      </c>
      <c r="U125" s="315" t="s">
        <v>2</v>
      </c>
      <c r="V125" s="322" t="s">
        <v>12</v>
      </c>
      <c r="W125" s="322" t="s">
        <v>8</v>
      </c>
      <c r="X125" s="325">
        <v>0.4</v>
      </c>
      <c r="Y125" s="338" t="s">
        <v>17</v>
      </c>
      <c r="Z125" s="339" t="s">
        <v>20</v>
      </c>
      <c r="AA125" s="136" t="s">
        <v>413</v>
      </c>
      <c r="AB125" s="244"/>
      <c r="AC125" s="364" t="s">
        <v>748</v>
      </c>
      <c r="AD125" s="202">
        <v>0.6</v>
      </c>
      <c r="AE125" s="344" t="str">
        <f t="shared" si="48"/>
        <v>Media</v>
      </c>
      <c r="AF125" s="325">
        <v>0.6</v>
      </c>
      <c r="AG125" s="343" t="s">
        <v>68</v>
      </c>
      <c r="AH125" s="325">
        <v>0.6</v>
      </c>
      <c r="AI125" s="213" t="str">
        <f t="shared" ref="AI125:AI138" si="57">IFERROR(IF(OR(AND(AE125="Muy Baja",AG125="Leve"),AND(AE125="Muy Baja",AG125="Menor"),AND(AE125="Baja",AG125="Leve")),"Bajo",IF(OR(AND(AE125="Muy baja",AG125="Moderado"),AND(AE125="Baja",AG125="Menor"),AND(AE125="Baja",AG125="Moderado"),AND(AE125="Media",AG125="Leve"),AND(AE125="Media",AG125="Menor"),AND(AE125="Media",AG125="Moderado"),AND(AE125="Alta",AG125="Leve"),AND(AE125="Alta",AG125="Menor")),"Moderado",IF(OR(AND(AE125="Muy Baja",AG125="Mayor"),AND(AE125="Baja",AG125="Mayor"),AND(AE125="Media",AG125="Mayor"),AND(AE125="Alta",AG125="Moderado"),AND(AE125="Alta",AG125="Mayor"),AND(AE125="Muy Alta",AG125="Leve"),AND(AE125="Muy Alta",AG125="Menor"),AND(AE125="Muy Alta",AG125="Moderado"),AND(AE125="Muy Alta",AG125="Mayor")),"Alto",IF(OR(AND(AE125="Muy Baja",AG125="Catastrófico"),AND(AE125="Baja",AG125="Catastrófico"),AND(AE125="Media",AG125="Catastrófico"),AND(AE125="Alta",AG125="Catastrófico"),AND(AE125="Muy Alta",AG125="Catastrófico")),"Extremo","")))),"")</f>
        <v>Moderado</v>
      </c>
      <c r="AJ125" s="213" t="s">
        <v>68</v>
      </c>
      <c r="AK125" s="322" t="s">
        <v>119</v>
      </c>
      <c r="AL125" s="234"/>
      <c r="AM125" s="234"/>
      <c r="AN125" s="234"/>
      <c r="AO125" s="234"/>
      <c r="AP125" s="234"/>
      <c r="AQ125" s="234"/>
      <c r="AR125" s="234"/>
      <c r="AS125" s="234"/>
      <c r="AT125" s="234"/>
      <c r="AU125" s="234"/>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34"/>
      <c r="BR125" s="234"/>
      <c r="BS125" s="234"/>
      <c r="BT125" s="234"/>
      <c r="BU125" s="234"/>
      <c r="BV125" s="234"/>
      <c r="BW125" s="234"/>
      <c r="BX125" s="234"/>
      <c r="BY125" s="234"/>
      <c r="BZ125" s="234"/>
      <c r="CA125" s="234"/>
      <c r="CB125" s="234"/>
    </row>
    <row r="126" spans="1:80" s="134" customFormat="1" ht="114.75" customHeight="1" x14ac:dyDescent="0.2">
      <c r="A126" s="682"/>
      <c r="B126" s="796"/>
      <c r="C126" s="784"/>
      <c r="D126" s="790" t="s">
        <v>931</v>
      </c>
      <c r="E126" s="658">
        <v>61</v>
      </c>
      <c r="F126" s="575" t="s">
        <v>749</v>
      </c>
      <c r="G126" s="653" t="s">
        <v>750</v>
      </c>
      <c r="H126" s="653" t="s">
        <v>751</v>
      </c>
      <c r="I126" s="744" t="s">
        <v>393</v>
      </c>
      <c r="J126" s="686" t="s">
        <v>231</v>
      </c>
      <c r="K126" s="594" t="s">
        <v>239</v>
      </c>
      <c r="L126" s="605">
        <v>365</v>
      </c>
      <c r="M126" s="565" t="str">
        <f>IF(L126&lt;=0,"",IF(L126&lt;=2,"Muy Baja",IF(L126&lt;=24,"Baja",IF(L126&lt;=500,"Media",IF(L126&lt;=5000,"Alta","Muy Alta")))))</f>
        <v>Media</v>
      </c>
      <c r="N126" s="567">
        <v>0.6</v>
      </c>
      <c r="O126" s="567" t="s">
        <v>86</v>
      </c>
      <c r="P126" s="565" t="s">
        <v>68</v>
      </c>
      <c r="Q126" s="567">
        <f>IF(P126="","",IF(P126="Leve",0.2,IF(P126="Menor",0.4,IF(P126="Moderado",0.6,IF(P126="Mayor",0.8,IF(P126="Catastrófico",1,))))))</f>
        <v>0.6</v>
      </c>
      <c r="R126" s="562" t="str">
        <f>IF(OR(AND(M126="Muy Baja",P126="Leve"),AND(M126="Muy Baja",P126="Menor"),AND(M126="Baja",P126="Leve")),"Bajo",IF(OR(AND(M126="Muy baja",P126="Moderado"),AND(M126="Baja",P126="Menor"),AND(M126="Baja",P126="Moderado"),AND(M126="Media",P126="Leve"),AND(M126="Media",P126="Menor"),AND(M126="Media",P126="Moderado"),AND(M126="Alta",P126="Leve"),AND(M126="Alta",P126="Menor")),"Moderado",IF(OR(AND(M126="Muy Baja",P126="Mayor"),AND(M126="Baja",P126="Mayor"),AND(M126="Media",P126="Mayor"),AND(M126="Alta",P126="Moderado"),AND(M126="Alta",P126="Mayor"),AND(M126="Muy Alta",P126="Leve"),AND(M126="Muy Alta",P126="Menor"),AND(M126="Muy Alta",P126="Moderado"),AND(M126="Muy Alta",P126="Mayor")),"Alto",IF(OR(AND(M126="Muy Baja",P126="Catastrófico"),AND(M126="Baja",P126="Catastrófico"),AND(M126="Media",P126="Catastrófico"),AND(M126="Alta",P126="Catastrófico"),AND(M126="Muy Alta",P126="Catastrófico")),"Extremo",""))))</f>
        <v>Moderado</v>
      </c>
      <c r="S126" s="219">
        <v>1</v>
      </c>
      <c r="T126" s="375" t="s">
        <v>752</v>
      </c>
      <c r="U126" s="315" t="s">
        <v>2</v>
      </c>
      <c r="V126" s="322" t="s">
        <v>12</v>
      </c>
      <c r="W126" s="322" t="s">
        <v>7</v>
      </c>
      <c r="X126" s="325">
        <v>0.4</v>
      </c>
      <c r="Y126" s="338"/>
      <c r="Z126" s="339"/>
      <c r="AA126" s="136"/>
      <c r="AB126" s="210"/>
      <c r="AC126" s="364" t="s">
        <v>755</v>
      </c>
      <c r="AD126" s="188">
        <v>0.6</v>
      </c>
      <c r="AE126" s="344" t="str">
        <f t="shared" si="48"/>
        <v>Media</v>
      </c>
      <c r="AF126" s="325">
        <f t="shared" si="52"/>
        <v>0.6</v>
      </c>
      <c r="AG126" s="343" t="str">
        <f t="shared" si="53"/>
        <v>Moderado</v>
      </c>
      <c r="AH126" s="325">
        <f>IFERROR(IF(U126="Impacto",(Q126-(+Q126*X126)),IF(U126="Probabilidad",Q126,"")),"")</f>
        <v>0.6</v>
      </c>
      <c r="AI126" s="213" t="str">
        <f t="shared" si="57"/>
        <v>Moderado</v>
      </c>
      <c r="AJ126" s="213" t="s">
        <v>68</v>
      </c>
      <c r="AK126" s="248"/>
      <c r="AL126" s="234"/>
      <c r="AM126" s="234"/>
      <c r="AN126" s="234"/>
      <c r="AO126" s="234"/>
      <c r="AP126" s="234"/>
      <c r="AQ126" s="234"/>
      <c r="AR126" s="234"/>
      <c r="AS126" s="234"/>
      <c r="AT126" s="234"/>
      <c r="AU126" s="234"/>
      <c r="AV126" s="234"/>
      <c r="AW126" s="234"/>
      <c r="AX126" s="234"/>
      <c r="AY126" s="234"/>
      <c r="AZ126" s="234"/>
      <c r="BA126" s="234"/>
      <c r="BB126" s="234"/>
      <c r="BC126" s="234"/>
      <c r="BD126" s="234"/>
      <c r="BE126" s="234"/>
      <c r="BF126" s="234"/>
      <c r="BG126" s="234"/>
      <c r="BH126" s="234"/>
      <c r="BI126" s="234"/>
      <c r="BJ126" s="234"/>
      <c r="BK126" s="234"/>
      <c r="BL126" s="234"/>
      <c r="BM126" s="234"/>
      <c r="BN126" s="234"/>
      <c r="BO126" s="234"/>
      <c r="BP126" s="234"/>
      <c r="BQ126" s="234"/>
      <c r="BR126" s="234"/>
      <c r="BS126" s="234"/>
      <c r="BT126" s="234"/>
      <c r="BU126" s="234"/>
      <c r="BV126" s="234"/>
      <c r="BW126" s="234"/>
      <c r="BX126" s="234"/>
      <c r="BY126" s="234"/>
      <c r="BZ126" s="234"/>
      <c r="CA126" s="234"/>
      <c r="CB126" s="234"/>
    </row>
    <row r="127" spans="1:80" s="134" customFormat="1" ht="117" customHeight="1" x14ac:dyDescent="0.2">
      <c r="A127" s="682"/>
      <c r="B127" s="796"/>
      <c r="C127" s="784"/>
      <c r="D127" s="790"/>
      <c r="E127" s="692"/>
      <c r="F127" s="742"/>
      <c r="G127" s="661"/>
      <c r="H127" s="661"/>
      <c r="I127" s="745"/>
      <c r="J127" s="647"/>
      <c r="K127" s="609"/>
      <c r="L127" s="637"/>
      <c r="M127" s="572"/>
      <c r="N127" s="571"/>
      <c r="O127" s="571"/>
      <c r="P127" s="572"/>
      <c r="Q127" s="571"/>
      <c r="R127" s="563"/>
      <c r="S127" s="319">
        <v>2</v>
      </c>
      <c r="T127" s="375" t="s">
        <v>753</v>
      </c>
      <c r="U127" s="315" t="s">
        <v>2</v>
      </c>
      <c r="V127" s="322" t="s">
        <v>12</v>
      </c>
      <c r="W127" s="322" t="s">
        <v>7</v>
      </c>
      <c r="X127" s="325">
        <v>0.4</v>
      </c>
      <c r="Y127" s="338"/>
      <c r="Z127" s="339"/>
      <c r="AA127" s="136"/>
      <c r="AB127" s="210"/>
      <c r="AC127" s="364" t="s">
        <v>756</v>
      </c>
      <c r="AD127" s="188">
        <v>0.6</v>
      </c>
      <c r="AE127" s="344" t="str">
        <f t="shared" si="48"/>
        <v>Media</v>
      </c>
      <c r="AF127" s="325">
        <f t="shared" si="52"/>
        <v>0.6</v>
      </c>
      <c r="AG127" s="343" t="s">
        <v>68</v>
      </c>
      <c r="AH127" s="325">
        <f>IFERROR(IF(U127="Impacto",(Q127-(+Q127*X127)),IF(U127="Probabilidad",Q127,"")),"")</f>
        <v>0</v>
      </c>
      <c r="AI127" s="213" t="str">
        <f t="shared" si="57"/>
        <v>Moderado</v>
      </c>
      <c r="AJ127" s="213" t="s">
        <v>68</v>
      </c>
      <c r="AK127" s="248"/>
      <c r="AL127" s="234"/>
      <c r="AM127" s="234"/>
      <c r="AN127" s="234"/>
      <c r="AO127" s="234"/>
      <c r="AP127" s="234"/>
      <c r="AQ127" s="234"/>
      <c r="AR127" s="234"/>
      <c r="AS127" s="234"/>
      <c r="AT127" s="234"/>
      <c r="AU127" s="234"/>
      <c r="AV127" s="234"/>
      <c r="AW127" s="234"/>
      <c r="AX127" s="234"/>
      <c r="AY127" s="234"/>
      <c r="AZ127" s="234"/>
      <c r="BA127" s="234"/>
      <c r="BB127" s="234"/>
      <c r="BC127" s="234"/>
      <c r="BD127" s="234"/>
      <c r="BE127" s="234"/>
      <c r="BF127" s="234"/>
      <c r="BG127" s="234"/>
      <c r="BH127" s="234"/>
      <c r="BI127" s="234"/>
      <c r="BJ127" s="234"/>
      <c r="BK127" s="234"/>
      <c r="BL127" s="234"/>
      <c r="BM127" s="234"/>
      <c r="BN127" s="234"/>
      <c r="BO127" s="234"/>
      <c r="BP127" s="234"/>
      <c r="BQ127" s="234"/>
      <c r="BR127" s="234"/>
      <c r="BS127" s="234"/>
      <c r="BT127" s="234"/>
      <c r="BU127" s="234"/>
      <c r="BV127" s="234"/>
      <c r="BW127" s="234"/>
      <c r="BX127" s="234"/>
      <c r="BY127" s="234"/>
      <c r="BZ127" s="234"/>
      <c r="CA127" s="234"/>
      <c r="CB127" s="234"/>
    </row>
    <row r="128" spans="1:80" s="134" customFormat="1" ht="110.25" customHeight="1" x14ac:dyDescent="0.2">
      <c r="A128" s="682"/>
      <c r="B128" s="796"/>
      <c r="C128" s="784"/>
      <c r="D128" s="791"/>
      <c r="E128" s="659"/>
      <c r="F128" s="576"/>
      <c r="G128" s="654"/>
      <c r="H128" s="654"/>
      <c r="I128" s="746"/>
      <c r="J128" s="593"/>
      <c r="K128" s="595"/>
      <c r="L128" s="606"/>
      <c r="M128" s="566"/>
      <c r="N128" s="568"/>
      <c r="O128" s="568"/>
      <c r="P128" s="566"/>
      <c r="Q128" s="568"/>
      <c r="R128" s="564"/>
      <c r="S128" s="319">
        <v>3</v>
      </c>
      <c r="T128" s="375" t="s">
        <v>754</v>
      </c>
      <c r="U128" s="315" t="s">
        <v>2</v>
      </c>
      <c r="V128" s="322" t="s">
        <v>12</v>
      </c>
      <c r="W128" s="322" t="s">
        <v>7</v>
      </c>
      <c r="X128" s="325">
        <v>0.4</v>
      </c>
      <c r="Y128" s="338"/>
      <c r="Z128" s="339"/>
      <c r="AA128" s="136"/>
      <c r="AB128" s="210"/>
      <c r="AC128" s="210" t="s">
        <v>757</v>
      </c>
      <c r="AD128" s="188">
        <v>0.6</v>
      </c>
      <c r="AE128" s="344" t="str">
        <f t="shared" si="48"/>
        <v>Media</v>
      </c>
      <c r="AF128" s="325">
        <f t="shared" si="52"/>
        <v>0.6</v>
      </c>
      <c r="AG128" s="343" t="s">
        <v>68</v>
      </c>
      <c r="AH128" s="325">
        <f>IFERROR(IF(U128="Impacto",(Q128-(+Q128*X128)),IF(U128="Probabilidad",Q128,"")),"")</f>
        <v>0</v>
      </c>
      <c r="AI128" s="213" t="str">
        <f t="shared" si="57"/>
        <v>Moderado</v>
      </c>
      <c r="AJ128" s="213" t="s">
        <v>68</v>
      </c>
      <c r="AK128" s="248"/>
      <c r="AL128" s="234"/>
      <c r="AM128" s="234"/>
      <c r="AN128" s="234"/>
      <c r="AO128" s="234"/>
      <c r="AP128" s="234"/>
      <c r="AQ128" s="234"/>
      <c r="AR128" s="234"/>
      <c r="AS128" s="234"/>
      <c r="AT128" s="234"/>
      <c r="AU128" s="234"/>
      <c r="AV128" s="234"/>
      <c r="AW128" s="234"/>
      <c r="AX128" s="234"/>
      <c r="AY128" s="234"/>
      <c r="AZ128" s="234"/>
      <c r="BA128" s="234"/>
      <c r="BB128" s="234"/>
      <c r="BC128" s="234"/>
      <c r="BD128" s="234"/>
      <c r="BE128" s="234"/>
      <c r="BF128" s="234"/>
      <c r="BG128" s="234"/>
      <c r="BH128" s="234"/>
      <c r="BI128" s="234"/>
      <c r="BJ128" s="234"/>
      <c r="BK128" s="234"/>
      <c r="BL128" s="234"/>
      <c r="BM128" s="234"/>
      <c r="BN128" s="234"/>
      <c r="BO128" s="234"/>
      <c r="BP128" s="234"/>
      <c r="BQ128" s="234"/>
      <c r="BR128" s="234"/>
      <c r="BS128" s="234"/>
      <c r="BT128" s="234"/>
      <c r="BU128" s="234"/>
      <c r="BV128" s="234"/>
      <c r="BW128" s="234"/>
      <c r="BX128" s="234"/>
      <c r="BY128" s="234"/>
      <c r="BZ128" s="234"/>
      <c r="CA128" s="234"/>
      <c r="CB128" s="234"/>
    </row>
    <row r="129" spans="1:80" ht="142.5" customHeight="1" x14ac:dyDescent="0.2">
      <c r="A129" s="682"/>
      <c r="B129" s="796"/>
      <c r="C129" s="784"/>
      <c r="D129" s="648" t="s">
        <v>309</v>
      </c>
      <c r="E129" s="658">
        <v>62</v>
      </c>
      <c r="F129" s="575" t="s">
        <v>609</v>
      </c>
      <c r="G129" s="653" t="s">
        <v>426</v>
      </c>
      <c r="H129" s="653" t="s">
        <v>462</v>
      </c>
      <c r="I129" s="653" t="s">
        <v>214</v>
      </c>
      <c r="J129" s="592" t="s">
        <v>218</v>
      </c>
      <c r="K129" s="594" t="s">
        <v>199</v>
      </c>
      <c r="L129" s="605">
        <v>365</v>
      </c>
      <c r="M129" s="565" t="str">
        <f>IF(L129&lt;=0,"",IF(L129&lt;=2,"Muy Baja",IF(L129&lt;=24,"Baja",IF(L129&lt;=500,"Media",IF(L129&lt;=5000,"Alta","Muy Alta")))))</f>
        <v>Media</v>
      </c>
      <c r="N129" s="567">
        <f>IF(M129="","",IF(M129="Muy Baja",0.2,IF(M129="Baja",0.4,IF(M129="Media",0.6,IF(M129="Alta",0.8,IF(M129="Muy Alta",1,))))))</f>
        <v>0.6</v>
      </c>
      <c r="O129" s="567" t="s">
        <v>132</v>
      </c>
      <c r="P129" s="565" t="str">
        <f>IF(OR(O129='6.Tabla Impacto'!$C$11,O129='6.Tabla Impacto'!$D$11),"Leve",IF(OR(O129='6.Tabla Impacto'!$C$12,O129='6.Tabla Impacto'!$D$12),"Menor",IF(OR(O129='6.Tabla Impacto'!$C$13,O129='6.Tabla Impacto'!$D$13),"Moderado",IF(OR(O129='6.Tabla Impacto'!$C$14,O129='6.Tabla Impacto'!$D$14),"Mayor",IF(OR(O129='6.Tabla Impacto'!$C$15,O129='6.Tabla Impacto'!$D$15),"Catastrófico","")))))</f>
        <v>Moderado</v>
      </c>
      <c r="Q129" s="567">
        <f>IF(P129="","",IF(P129="Leve",0.2,IF(P129="Menor",0.4,IF(P129="Moderado",0.6,IF(P129="Mayor",0.8,IF(P129="Catastrófico",1,))))))</f>
        <v>0.6</v>
      </c>
      <c r="R129" s="562" t="str">
        <f>IF(OR(AND(M129="Muy Baja",P129="Leve"),AND(M129="Muy Baja",P129="Menor"),AND(M129="Baja",P129="Leve")),"Bajo",IF(OR(AND(M129="Muy baja",P129="Moderado"),AND(M129="Baja",P129="Menor"),AND(M129="Baja",P129="Moderado"),AND(M129="Media",P129="Leve"),AND(M129="Media",P129="Menor"),AND(M129="Media",P129="Moderado"),AND(M129="Alta",P129="Leve"),AND(M129="Alta",P129="Menor")),"Moderado",IF(OR(AND(M129="Muy Baja",P129="Mayor"),AND(M129="Baja",P129="Mayor"),AND(M129="Media",P129="Mayor"),AND(M129="Alta",P129="Moderado"),AND(M129="Alta",P129="Mayor"),AND(M129="Muy Alta",P129="Leve"),AND(M129="Muy Alta",P129="Menor"),AND(M129="Muy Alta",P129="Moderado"),AND(M129="Muy Alta",P129="Mayor")),"Alto",IF(OR(AND(M129="Muy Baja",P129="Catastrófico"),AND(M129="Baja",P129="Catastrófico"),AND(M129="Media",P129="Catastrófico"),AND(M129="Alta",P129="Catastrófico"),AND(M129="Muy Alta",P129="Catastrófico")),"Extremo",""))))</f>
        <v>Moderado</v>
      </c>
      <c r="S129" s="187" t="s">
        <v>456</v>
      </c>
      <c r="T129" s="267" t="s">
        <v>457</v>
      </c>
      <c r="U129" s="315" t="str">
        <f t="shared" ref="U129:U135" si="58">IF(OR(V129="Preventivo",V129="Detectivo"),"Probabilidad",IF(V129="Correctivo","Impacto",""))</f>
        <v>Probabilidad</v>
      </c>
      <c r="V129" s="322" t="s">
        <v>12</v>
      </c>
      <c r="W129" s="322" t="s">
        <v>7</v>
      </c>
      <c r="X129" s="325" t="str">
        <f t="shared" si="51"/>
        <v>40%</v>
      </c>
      <c r="Y129" s="338" t="s">
        <v>17</v>
      </c>
      <c r="Z129" s="339" t="s">
        <v>21</v>
      </c>
      <c r="AA129" s="136" t="s">
        <v>105</v>
      </c>
      <c r="AB129" s="244"/>
      <c r="AC129" s="332" t="s">
        <v>536</v>
      </c>
      <c r="AD129" s="188">
        <v>0.6</v>
      </c>
      <c r="AE129" s="138" t="str">
        <f t="shared" ref="AE129:AE140" si="59">IFERROR(IF(AD129="","",IF(AD129&lt;=0.2,"Muy Baja",IF(AD129&lt;=0.4,"Baja",IF(AD129&lt;=0.6,"Media",IF(AD129&lt;=0.8,"Alta","Muy Alta"))))),"")</f>
        <v>Media</v>
      </c>
      <c r="AF129" s="325">
        <f t="shared" si="52"/>
        <v>0.6</v>
      </c>
      <c r="AG129" s="343" t="str">
        <f t="shared" si="53"/>
        <v>Moderado</v>
      </c>
      <c r="AH129" s="325">
        <f>IFERROR(IF(U129="Impacto",(Q129-(+Q129*X129)),IF(U129="Probabilidad",Q129,"")),"")</f>
        <v>0.6</v>
      </c>
      <c r="AI129" s="352" t="str">
        <f t="shared" si="57"/>
        <v>Moderado</v>
      </c>
      <c r="AJ129" s="351" t="str">
        <f>$AI$131</f>
        <v>Moderado</v>
      </c>
      <c r="AK129" s="248" t="s">
        <v>119</v>
      </c>
    </row>
    <row r="130" spans="1:80" s="134" customFormat="1" ht="90" customHeight="1" x14ac:dyDescent="0.2">
      <c r="A130" s="682"/>
      <c r="B130" s="796"/>
      <c r="C130" s="784"/>
      <c r="D130" s="649"/>
      <c r="E130" s="659"/>
      <c r="F130" s="576"/>
      <c r="G130" s="654"/>
      <c r="H130" s="654"/>
      <c r="I130" s="654"/>
      <c r="J130" s="655"/>
      <c r="K130" s="595"/>
      <c r="L130" s="606"/>
      <c r="M130" s="566"/>
      <c r="N130" s="568"/>
      <c r="O130" s="568"/>
      <c r="P130" s="566"/>
      <c r="Q130" s="568"/>
      <c r="R130" s="564"/>
      <c r="S130" s="331">
        <v>2</v>
      </c>
      <c r="T130" s="267" t="s">
        <v>474</v>
      </c>
      <c r="U130" s="315" t="s">
        <v>2</v>
      </c>
      <c r="V130" s="322" t="s">
        <v>12</v>
      </c>
      <c r="W130" s="322" t="s">
        <v>7</v>
      </c>
      <c r="X130" s="325" t="str">
        <f t="shared" si="51"/>
        <v>40%</v>
      </c>
      <c r="Y130" s="338" t="s">
        <v>17</v>
      </c>
      <c r="Z130" s="339" t="s">
        <v>21</v>
      </c>
      <c r="AA130" s="136" t="s">
        <v>105</v>
      </c>
      <c r="AB130" s="244"/>
      <c r="AC130" s="364" t="s">
        <v>537</v>
      </c>
      <c r="AD130" s="188">
        <v>0.6</v>
      </c>
      <c r="AE130" s="138" t="str">
        <f t="shared" si="59"/>
        <v>Media</v>
      </c>
      <c r="AF130" s="325">
        <f t="shared" si="52"/>
        <v>0.6</v>
      </c>
      <c r="AG130" s="343" t="str">
        <f t="shared" si="53"/>
        <v>Moderado</v>
      </c>
      <c r="AH130" s="325">
        <v>0.6</v>
      </c>
      <c r="AI130" s="352" t="str">
        <f t="shared" si="57"/>
        <v>Moderado</v>
      </c>
      <c r="AJ130" s="351" t="str">
        <f>$AI$131</f>
        <v>Moderado</v>
      </c>
      <c r="AK130" s="250" t="s">
        <v>119</v>
      </c>
      <c r="AL130" s="234"/>
      <c r="AM130" s="234"/>
      <c r="AN130" s="234"/>
      <c r="AO130" s="234"/>
      <c r="AP130" s="234"/>
      <c r="AQ130" s="234"/>
      <c r="AR130" s="234"/>
      <c r="AS130" s="234"/>
      <c r="AT130" s="234"/>
      <c r="AU130" s="234"/>
      <c r="AV130" s="234"/>
      <c r="AW130" s="234"/>
      <c r="AX130" s="234"/>
      <c r="AY130" s="234"/>
      <c r="AZ130" s="234"/>
      <c r="BA130" s="234"/>
      <c r="BB130" s="234"/>
      <c r="BC130" s="234"/>
      <c r="BD130" s="234"/>
      <c r="BE130" s="234"/>
      <c r="BF130" s="234"/>
      <c r="BG130" s="234"/>
      <c r="BH130" s="234"/>
      <c r="BI130" s="234"/>
      <c r="BJ130" s="234"/>
      <c r="BK130" s="234"/>
      <c r="BL130" s="234"/>
      <c r="BM130" s="234"/>
      <c r="BN130" s="234"/>
      <c r="BO130" s="234"/>
      <c r="BP130" s="234"/>
      <c r="BQ130" s="234"/>
      <c r="BR130" s="234"/>
      <c r="BS130" s="234"/>
      <c r="BT130" s="234"/>
      <c r="BU130" s="234"/>
      <c r="BV130" s="234"/>
      <c r="BW130" s="234"/>
      <c r="BX130" s="234"/>
      <c r="BY130" s="234"/>
      <c r="BZ130" s="234"/>
      <c r="CA130" s="234"/>
      <c r="CB130" s="234"/>
    </row>
    <row r="131" spans="1:80" ht="153" customHeight="1" x14ac:dyDescent="0.2">
      <c r="A131" s="682"/>
      <c r="B131" s="797"/>
      <c r="C131" s="785"/>
      <c r="D131" s="650"/>
      <c r="E131" s="346">
        <v>63</v>
      </c>
      <c r="F131" s="232" t="s">
        <v>461</v>
      </c>
      <c r="G131" s="364" t="s">
        <v>473</v>
      </c>
      <c r="H131" s="263" t="s">
        <v>455</v>
      </c>
      <c r="I131" s="263" t="s">
        <v>214</v>
      </c>
      <c r="J131" s="364" t="s">
        <v>218</v>
      </c>
      <c r="K131" s="219" t="s">
        <v>236</v>
      </c>
      <c r="L131" s="216">
        <v>365</v>
      </c>
      <c r="M131" s="306" t="str">
        <f>IF(L131&lt;=0,"",IF(L131&lt;=2,"Muy Baja",IF(L131&lt;=24,"Baja",IF(L131&lt;=500,"Media",IF(L131&lt;=5000,"Alta","Muy Alta")))))</f>
        <v>Media</v>
      </c>
      <c r="N131" s="214">
        <f>IF(M131="","",IF(M131="Muy Baja",0.2,IF(M131="Baja",0.4,IF(M131="Media",0.6,IF(M131="Alta",0.8,IF(M131="Muy Alta",1,))))))</f>
        <v>0.6</v>
      </c>
      <c r="O131" s="214" t="s">
        <v>132</v>
      </c>
      <c r="P131" s="217" t="str">
        <f>IF(OR(O131='6.Tabla Impacto'!$C$11,O131='6.Tabla Impacto'!$D$11),"Leve",IF(OR(O131='6.Tabla Impacto'!$C$12,O131='6.Tabla Impacto'!$D$12),"Menor",IF(OR(O131='6.Tabla Impacto'!$C$13,O131='6.Tabla Impacto'!$D$13),"Moderado",IF(OR(O131='6.Tabla Impacto'!$C$14,O131='6.Tabla Impacto'!$D$14),"Mayor",IF(OR(O131='6.Tabla Impacto'!$C$15,O131='6.Tabla Impacto'!$D$15),"Catastrófico","")))))</f>
        <v>Moderado</v>
      </c>
      <c r="Q131" s="214">
        <f>IF(P131="","",IF(P131="Leve",0.2,IF(P131="Menor",0.4,IF(P131="Moderado",0.6,IF(P131="Mayor",0.8,IF(P131="Catastrófico",1,))))))</f>
        <v>0.6</v>
      </c>
      <c r="R131" s="215" t="str">
        <f>IF(OR(AND(M131="Muy Baja",P131="Leve"),AND(M131="Muy Baja",P131="Menor"),AND(M131="Baja",P131="Leve")),"Bajo",IF(OR(AND(M131="Muy baja",P131="Moderado"),AND(M131="Baja",P131="Menor"),AND(M131="Baja",P131="Moderado"),AND(M131="Media",P131="Leve"),AND(M131="Media",P131="Menor"),AND(M131="Media",P131="Moderado"),AND(M131="Alta",P131="Leve"),AND(M131="Alta",P131="Menor")),"Moderado",IF(OR(AND(M131="Muy Baja",P131="Mayor"),AND(M131="Baja",P131="Mayor"),AND(M131="Media",P131="Mayor"),AND(M131="Alta",P131="Moderado"),AND(M131="Alta",P131="Mayor"),AND(M131="Muy Alta",P131="Leve"),AND(M131="Muy Alta",P131="Menor"),AND(M131="Muy Alta",P131="Moderado"),AND(M131="Muy Alta",P131="Mayor")),"Alto",IF(OR(AND(M131="Muy Baja",P131="Catastrófico"),AND(M131="Baja",P131="Catastrófico"),AND(M131="Media",P131="Catastrófico"),AND(M131="Alta",P131="Catastrófico"),AND(M131="Muy Alta",P131="Catastrófico")),"Extremo",""))))</f>
        <v>Moderado</v>
      </c>
      <c r="S131" s="219">
        <v>1</v>
      </c>
      <c r="T131" s="364" t="s">
        <v>555</v>
      </c>
      <c r="U131" s="315" t="str">
        <f t="shared" si="58"/>
        <v>Probabilidad</v>
      </c>
      <c r="V131" s="149" t="s">
        <v>12</v>
      </c>
      <c r="W131" s="149" t="s">
        <v>7</v>
      </c>
      <c r="X131" s="150" t="str">
        <f t="shared" ref="X131:X184" si="60">IF(AND(V131="Preventivo",W131="Automático"),"50%",IF(AND(V131="Preventivo",W131="Manual"),"40%",IF(AND(V131="Detectivo",W131="Automático"),"40%",IF(AND(V131="Detectivo",W131="Manual"),"30%",IF(AND(V131="Correctivo",W131="Automático"),"35%",IF(AND(V131="Correctivo",W131="Manual"),"25%",""))))))</f>
        <v>40%</v>
      </c>
      <c r="Y131" s="151" t="s">
        <v>17</v>
      </c>
      <c r="Z131" s="152" t="s">
        <v>20</v>
      </c>
      <c r="AA131" s="153" t="s">
        <v>105</v>
      </c>
      <c r="AB131" s="244"/>
      <c r="AC131" s="364" t="s">
        <v>538</v>
      </c>
      <c r="AD131" s="188">
        <v>0.6</v>
      </c>
      <c r="AE131" s="147" t="str">
        <f t="shared" si="59"/>
        <v>Media</v>
      </c>
      <c r="AF131" s="325">
        <f t="shared" si="52"/>
        <v>0.6</v>
      </c>
      <c r="AG131" s="143" t="str">
        <f t="shared" si="53"/>
        <v>Moderado</v>
      </c>
      <c r="AH131" s="325">
        <f>IFERROR(IF(U131="Impacto",(Q131-(+Q131*X131)),IF(U131="Probabilidad",Q131,"")),"")</f>
        <v>0.6</v>
      </c>
      <c r="AI131" s="213" t="str">
        <f t="shared" si="57"/>
        <v>Moderado</v>
      </c>
      <c r="AJ131" s="351" t="str">
        <f>$AI$131</f>
        <v>Moderado</v>
      </c>
      <c r="AK131" s="248" t="s">
        <v>119</v>
      </c>
    </row>
    <row r="132" spans="1:80" ht="242.25" customHeight="1" x14ac:dyDescent="0.2">
      <c r="A132" s="682"/>
      <c r="B132" s="660">
        <v>18</v>
      </c>
      <c r="C132" s="814" t="s">
        <v>310</v>
      </c>
      <c r="D132" s="648" t="s">
        <v>311</v>
      </c>
      <c r="E132" s="658">
        <v>64</v>
      </c>
      <c r="F132" s="670" t="s">
        <v>776</v>
      </c>
      <c r="G132" s="670" t="s">
        <v>312</v>
      </c>
      <c r="H132" s="670" t="s">
        <v>306</v>
      </c>
      <c r="I132" s="653" t="s">
        <v>217</v>
      </c>
      <c r="J132" s="592" t="s">
        <v>231</v>
      </c>
      <c r="K132" s="594" t="s">
        <v>199</v>
      </c>
      <c r="L132" s="605">
        <v>132000</v>
      </c>
      <c r="M132" s="565" t="str">
        <f>IF(L132&lt;=0,"",IF(L132&lt;=2,"Muy Baja",IF(L132&lt;=24,"Baja",IF(L132&lt;=500,"Media",IF(L132&lt;=5000,"Alta","Muy Alta")))))</f>
        <v>Muy Alta</v>
      </c>
      <c r="N132" s="690">
        <f>IF(M132="","",IF(M132="Muy Baja",0.2,IF(M132="Baja",0.4,IF(M132="Media",0.6,IF(M132="Alta",0.8,IF(M132="Muy Alta",1,))))))</f>
        <v>1</v>
      </c>
      <c r="O132" s="709" t="s">
        <v>104</v>
      </c>
      <c r="P132" s="639" t="str">
        <f>IF(OR(O132='6.Tabla Impacto'!$C$11,O132='6.Tabla Impacto'!$D$11),"Leve",IF(OR(O132='6.Tabla Impacto'!$C$12,O132='6.Tabla Impacto'!$D$12),"Menor",IF(OR(O132='6.Tabla Impacto'!$C$13,O132='6.Tabla Impacto'!$D$13),"Moderado",IF(OR(O132='6.Tabla Impacto'!$C$14,O132='6.Tabla Impacto'!$D$14),"Mayor",IF(OR(O132='6.Tabla Impacto'!$C$15,O132='6.Tabla Impacto'!$D$15),"Catastrófico","")))))</f>
        <v>Mayor</v>
      </c>
      <c r="Q132" s="567">
        <f>IF(P132="","",IF(P132="Leve",0.2,IF(P132="Menor",0.4,IF(P132="Moderado",0.6,IF(P132="Mayor",0.8,IF(P132="Catastrófico",1,))))))</f>
        <v>0.8</v>
      </c>
      <c r="R132" s="562" t="str">
        <f>IF(OR(AND(M132="Muy Baja",P132="Leve"),AND(M132="Muy Baja",P132="Menor"),AND(M132="Baja",P132="Leve")),"Bajo",IF(OR(AND(M132="Muy baja",P132="Moderado"),AND(M132="Baja",P132="Menor"),AND(M132="Baja",P132="Moderado"),AND(M132="Media",P132="Leve"),AND(M132="Media",P132="Menor"),AND(M132="Media",P132="Moderado"),AND(M132="Alta",P132="Leve"),AND(M132="Alta",P132="Menor")),"Moderado",IF(OR(AND(M132="Muy Baja",P132="Mayor"),AND(M132="Baja",P132="Mayor"),AND(M132="Media",P132="Mayor"),AND(M132="Alta",P132="Moderado"),AND(M132="Alta",P132="Mayor"),AND(M132="Muy Alta",P132="Leve"),AND(M132="Muy Alta",P132="Menor"),AND(M132="Muy Alta",P132="Moderado"),AND(M132="Muy Alta",P132="Mayor")),"Alto",IF(OR(AND(M132="Muy Baja",P132="Catastrófico"),AND(M132="Baja",P132="Catastrófico"),AND(M132="Media",P132="Catastrófico"),AND(M132="Alta",P132="Catastrófico"),AND(M132="Muy Alta",P132="Catastrófico")),"Extremo",""))))</f>
        <v>Alto</v>
      </c>
      <c r="S132" s="219">
        <v>1</v>
      </c>
      <c r="T132" s="224" t="s">
        <v>445</v>
      </c>
      <c r="U132" s="148" t="str">
        <f t="shared" si="58"/>
        <v>Probabilidad</v>
      </c>
      <c r="V132" s="149" t="s">
        <v>12</v>
      </c>
      <c r="W132" s="149" t="s">
        <v>7</v>
      </c>
      <c r="X132" s="150" t="str">
        <f t="shared" si="60"/>
        <v>40%</v>
      </c>
      <c r="Y132" s="151" t="s">
        <v>17</v>
      </c>
      <c r="Z132" s="152" t="s">
        <v>20</v>
      </c>
      <c r="AA132" s="153" t="s">
        <v>105</v>
      </c>
      <c r="AB132" s="245"/>
      <c r="AC132" s="364" t="s">
        <v>777</v>
      </c>
      <c r="AD132" s="188">
        <f>IFERROR(IF(U132="Probabilidad",(N132-(+N132*X132)),IF(U132="Impacto",N132,"")),"")</f>
        <v>0.6</v>
      </c>
      <c r="AE132" s="147" t="str">
        <f t="shared" si="59"/>
        <v>Media</v>
      </c>
      <c r="AF132" s="139">
        <f t="shared" si="52"/>
        <v>0.6</v>
      </c>
      <c r="AG132" s="143" t="str">
        <f t="shared" si="53"/>
        <v>Mayor</v>
      </c>
      <c r="AH132" s="139">
        <f>IFERROR(IF(U132="Impacto",(Q132-(+Q132*X132)),IF(U132="Probabilidad",Q132,"")),"")</f>
        <v>0.8</v>
      </c>
      <c r="AI132" s="213" t="str">
        <f t="shared" si="57"/>
        <v>Alto</v>
      </c>
      <c r="AJ132" s="351" t="str">
        <f>$AI$133</f>
        <v>Alto</v>
      </c>
      <c r="AK132" s="248" t="s">
        <v>119</v>
      </c>
    </row>
    <row r="133" spans="1:80" ht="162" customHeight="1" x14ac:dyDescent="0.2">
      <c r="A133" s="682"/>
      <c r="B133" s="660"/>
      <c r="C133" s="814"/>
      <c r="D133" s="649"/>
      <c r="E133" s="659"/>
      <c r="F133" s="672"/>
      <c r="G133" s="672"/>
      <c r="H133" s="672"/>
      <c r="I133" s="654"/>
      <c r="J133" s="655"/>
      <c r="K133" s="595"/>
      <c r="L133" s="731"/>
      <c r="M133" s="566"/>
      <c r="N133" s="691"/>
      <c r="O133" s="710"/>
      <c r="P133" s="640"/>
      <c r="Q133" s="738"/>
      <c r="R133" s="570"/>
      <c r="S133" s="219">
        <v>2</v>
      </c>
      <c r="T133" s="224" t="s">
        <v>446</v>
      </c>
      <c r="U133" s="148" t="str">
        <f t="shared" si="58"/>
        <v>Probabilidad</v>
      </c>
      <c r="V133" s="149" t="s">
        <v>12</v>
      </c>
      <c r="W133" s="149" t="s">
        <v>7</v>
      </c>
      <c r="X133" s="150" t="str">
        <f t="shared" si="60"/>
        <v>40%</v>
      </c>
      <c r="Y133" s="151" t="s">
        <v>17</v>
      </c>
      <c r="Z133" s="152" t="s">
        <v>20</v>
      </c>
      <c r="AA133" s="153" t="s">
        <v>105</v>
      </c>
      <c r="AB133" s="244"/>
      <c r="AC133" s="364" t="s">
        <v>375</v>
      </c>
      <c r="AD133" s="188">
        <v>0.6</v>
      </c>
      <c r="AE133" s="147" t="str">
        <f t="shared" si="59"/>
        <v>Media</v>
      </c>
      <c r="AF133" s="139">
        <v>0.6</v>
      </c>
      <c r="AG133" s="143" t="str">
        <f t="shared" si="53"/>
        <v>Mayor</v>
      </c>
      <c r="AH133" s="139">
        <v>0.8</v>
      </c>
      <c r="AI133" s="213" t="str">
        <f t="shared" si="57"/>
        <v>Alto</v>
      </c>
      <c r="AJ133" s="351" t="str">
        <f>$AI$133</f>
        <v>Alto</v>
      </c>
      <c r="AK133" s="248" t="s">
        <v>119</v>
      </c>
    </row>
    <row r="134" spans="1:80" ht="102" customHeight="1" x14ac:dyDescent="0.2">
      <c r="A134" s="682"/>
      <c r="B134" s="660"/>
      <c r="C134" s="814"/>
      <c r="D134" s="649"/>
      <c r="E134" s="658">
        <v>65</v>
      </c>
      <c r="F134" s="575" t="s">
        <v>443</v>
      </c>
      <c r="G134" s="653" t="s">
        <v>463</v>
      </c>
      <c r="H134" s="653" t="s">
        <v>313</v>
      </c>
      <c r="I134" s="594" t="s">
        <v>197</v>
      </c>
      <c r="J134" s="592" t="s">
        <v>116</v>
      </c>
      <c r="K134" s="756" t="s">
        <v>199</v>
      </c>
      <c r="L134" s="857">
        <v>9000</v>
      </c>
      <c r="M134" s="651" t="str">
        <f>IF(L134&lt;=0,"",IF(L134&lt;=2,"Muy Baja",IF(L134&lt;=24,"Baja",IF(L134&lt;=500,"Media",IF(L134&lt;=5000,"Alta","Muy Alta")))))</f>
        <v>Muy Alta</v>
      </c>
      <c r="N134" s="584">
        <f>IF(M134="","",IF(M134="Muy Baja",0.2,IF(M134="Baja",0.4,IF(M134="Media",0.6,IF(M134="Alta",0.8,IF(M134="Muy Alta",1,))))))</f>
        <v>1</v>
      </c>
      <c r="O134" s="696" t="s">
        <v>133</v>
      </c>
      <c r="P134" s="565" t="str">
        <f>IF(OR(O134='6.Tabla Impacto'!$C$11,O134='6.Tabla Impacto'!$D$11),"Leve",IF(OR(O134='6.Tabla Impacto'!$C$12,O134='6.Tabla Impacto'!$D$12),"Menor",IF(OR(O134='6.Tabla Impacto'!$C$13,O134='6.Tabla Impacto'!$D$13),"Moderado",IF(OR(O134='6.Tabla Impacto'!$C$14,O134='6.Tabla Impacto'!$D$14),"Mayor",IF(OR(O134='6.Tabla Impacto'!$C$15,O134='6.Tabla Impacto'!$D$15),"Catastrófico","")))))</f>
        <v>Mayor</v>
      </c>
      <c r="Q134" s="699">
        <f>IF(P134="","",IF(P134="Leve",0.2,IF(P134="Menor",0.4,IF(P134="Moderado",0.6,IF(P134="Mayor",0.8,IF(P134="Catastrófico",1,))))))</f>
        <v>0.8</v>
      </c>
      <c r="R134" s="860" t="str">
        <f>IF(OR(AND(M134="Muy Baja",P134="Leve"),AND(M134="Muy Baja",P134="Menor"),AND(M134="Baja",P134="Leve")),"Bajo",IF(OR(AND(M134="Muy baja",P134="Moderado"),AND(M134="Baja",P134="Menor"),AND(M134="Baja",P134="Moderado"),AND(M134="Media",P134="Leve"),AND(M134="Media",P134="Menor"),AND(M134="Media",P134="Moderado"),AND(M134="Alta",P134="Leve"),AND(M134="Alta",P134="Menor")),"Moderado",IF(OR(AND(M134="Muy Baja",P134="Mayor"),AND(M134="Baja",P134="Mayor"),AND(M134="Media",P134="Mayor"),AND(M134="Alta",P134="Moderado"),AND(M134="Alta",P134="Mayor"),AND(M134="Muy Alta",P134="Leve"),AND(M134="Muy Alta",P134="Menor"),AND(M134="Muy Alta",P134="Moderado"),AND(M134="Muy Alta",P134="Mayor")),"Alto",IF(OR(AND(M134="Muy Baja",P134="Catastrófico"),AND(M134="Baja",P134="Catastrófico"),AND(M134="Media",P134="Catastrófico"),AND(M134="Alta",P134="Catastrófico"),AND(M134="Muy Alta",P134="Catastrófico")),"Extremo",""))))</f>
        <v>Alto</v>
      </c>
      <c r="S134" s="161">
        <v>1</v>
      </c>
      <c r="T134" s="267" t="s">
        <v>464</v>
      </c>
      <c r="U134" s="159" t="str">
        <f t="shared" si="58"/>
        <v>Probabilidad</v>
      </c>
      <c r="V134" s="149" t="s">
        <v>12</v>
      </c>
      <c r="W134" s="149" t="s">
        <v>7</v>
      </c>
      <c r="X134" s="150" t="str">
        <f t="shared" si="60"/>
        <v>40%</v>
      </c>
      <c r="Y134" s="151" t="s">
        <v>17</v>
      </c>
      <c r="Z134" s="152" t="s">
        <v>20</v>
      </c>
      <c r="AA134" s="153" t="s">
        <v>105</v>
      </c>
      <c r="AB134" s="245"/>
      <c r="AC134" s="332" t="s">
        <v>539</v>
      </c>
      <c r="AD134" s="189">
        <f>IFERROR(IF(U134="Probabilidad",(N134-(+N134*X134)),IF(U134="Impacto",N134,"")),"")</f>
        <v>0.6</v>
      </c>
      <c r="AE134" s="147" t="str">
        <f t="shared" si="59"/>
        <v>Media</v>
      </c>
      <c r="AF134" s="139">
        <v>0.6</v>
      </c>
      <c r="AG134" s="143" t="str">
        <f t="shared" si="53"/>
        <v>Mayor</v>
      </c>
      <c r="AH134" s="139">
        <f>IFERROR(IF(U134="Impacto",(Q134-(+Q134*X134)),IF(U134="Probabilidad",Q134,"")),"")</f>
        <v>0.8</v>
      </c>
      <c r="AI134" s="213" t="str">
        <f t="shared" si="57"/>
        <v>Alto</v>
      </c>
      <c r="AJ134" s="213" t="str">
        <f>$AI$135</f>
        <v>Alto</v>
      </c>
      <c r="AK134" s="321" t="s">
        <v>119</v>
      </c>
    </row>
    <row r="135" spans="1:80" ht="119.25" customHeight="1" x14ac:dyDescent="0.2">
      <c r="A135" s="682"/>
      <c r="B135" s="660"/>
      <c r="C135" s="814"/>
      <c r="D135" s="649"/>
      <c r="E135" s="659"/>
      <c r="F135" s="576"/>
      <c r="G135" s="654"/>
      <c r="H135" s="654"/>
      <c r="I135" s="595"/>
      <c r="J135" s="655"/>
      <c r="K135" s="757"/>
      <c r="L135" s="858"/>
      <c r="M135" s="652"/>
      <c r="N135" s="705"/>
      <c r="O135" s="646"/>
      <c r="P135" s="566"/>
      <c r="Q135" s="691"/>
      <c r="R135" s="736"/>
      <c r="S135" s="161">
        <v>2</v>
      </c>
      <c r="T135" s="267" t="s">
        <v>444</v>
      </c>
      <c r="U135" s="159" t="str">
        <f t="shared" si="58"/>
        <v>Probabilidad</v>
      </c>
      <c r="V135" s="149" t="s">
        <v>12</v>
      </c>
      <c r="W135" s="149" t="s">
        <v>7</v>
      </c>
      <c r="X135" s="150" t="str">
        <f t="shared" si="60"/>
        <v>40%</v>
      </c>
      <c r="Y135" s="151" t="s">
        <v>17</v>
      </c>
      <c r="Z135" s="152" t="s">
        <v>20</v>
      </c>
      <c r="AA135" s="153" t="s">
        <v>105</v>
      </c>
      <c r="AB135" s="245"/>
      <c r="AC135" s="332" t="s">
        <v>540</v>
      </c>
      <c r="AD135" s="189">
        <v>0.6</v>
      </c>
      <c r="AE135" s="147" t="str">
        <f t="shared" si="59"/>
        <v>Media</v>
      </c>
      <c r="AF135" s="139">
        <v>0.6</v>
      </c>
      <c r="AG135" s="143" t="str">
        <f t="shared" si="53"/>
        <v>Mayor</v>
      </c>
      <c r="AH135" s="155">
        <f>IFERROR(IF(AND(U134="Impacto",U135="Impacto"),(AH132-(+AH132*X135)),IF(U135="Impacto",(#REF!-(+#REF!*X135)),IF(U135="Probabilidad",AH132,""))),"")</f>
        <v>0.8</v>
      </c>
      <c r="AI135" s="213" t="str">
        <f t="shared" si="57"/>
        <v>Alto</v>
      </c>
      <c r="AJ135" s="213" t="str">
        <f>$AI$135</f>
        <v>Alto</v>
      </c>
      <c r="AK135" s="321" t="s">
        <v>119</v>
      </c>
    </row>
    <row r="136" spans="1:80" ht="178.5" customHeight="1" x14ac:dyDescent="0.2">
      <c r="A136" s="682"/>
      <c r="B136" s="660"/>
      <c r="C136" s="814"/>
      <c r="D136" s="649"/>
      <c r="E136" s="658">
        <v>66</v>
      </c>
      <c r="F136" s="575" t="s">
        <v>939</v>
      </c>
      <c r="G136" s="653" t="s">
        <v>758</v>
      </c>
      <c r="H136" s="653" t="s">
        <v>759</v>
      </c>
      <c r="I136" s="744" t="s">
        <v>392</v>
      </c>
      <c r="J136" s="592" t="s">
        <v>112</v>
      </c>
      <c r="K136" s="594" t="s">
        <v>199</v>
      </c>
      <c r="L136" s="730">
        <v>36</v>
      </c>
      <c r="M136" s="697" t="str">
        <f>IF(L136&lt;=0,"",IF(L136&lt;=2,"Muy Baja",IF(L136&lt;=24,"Baja",IF(L136&lt;=500,"Media",IF(L136&lt;=5000,"Alta","Muy Alta")))))</f>
        <v>Media</v>
      </c>
      <c r="N136" s="699">
        <f>IF(M136="","",IF(M136="Muy Baja",0.2,IF(M136="Baja",0.4,IF(M136="Media",0.6,IF(M136="Alta",0.8,IF(M136="Muy Alta",1,))))))</f>
        <v>0.6</v>
      </c>
      <c r="O136" s="696" t="s">
        <v>86</v>
      </c>
      <c r="P136" s="565" t="str">
        <f>IF(OR(O136='6.Tabla Impacto'!$C$11,O136='6.Tabla Impacto'!$D$11),"Leve",IF(OR(O136='6.Tabla Impacto'!$C$12,O136='6.Tabla Impacto'!$D$12),"Menor",IF(OR(O136='6.Tabla Impacto'!$C$13,O136='6.Tabla Impacto'!$D$13),"Moderado",IF(OR(O136='6.Tabla Impacto'!$C$14,O136='6.Tabla Impacto'!$D$14),"Mayor",IF(OR(O136='6.Tabla Impacto'!$C$15,O136='6.Tabla Impacto'!$D$15),"Catastrófico","")))))</f>
        <v>Menor</v>
      </c>
      <c r="Q136" s="737">
        <f>IF(P136="","",IF(P136="Leve",0.2,IF(P136="Menor",0.4,IF(P136="Moderado",0.6,IF(P136="Mayor",0.8,IF(P136="Catastrófico",1,))))))</f>
        <v>0.4</v>
      </c>
      <c r="R136" s="569" t="str">
        <f>IF(OR(AND(M136="Muy Baja",P136="Leve"),AND(M136="Muy Baja",P136="Menor"),AND(M136="Baja",P136="Leve")),"Bajo",IF(OR(AND(M136="Muy baja",P136="Moderado"),AND(M136="Baja",P136="Menor"),AND(M136="Baja",P136="Moderado"),AND(M136="Media",P136="Leve"),AND(M136="Media",P136="Menor"),AND(M136="Media",P136="Moderado"),AND(M136="Alta",P136="Leve"),AND(M136="Alta",P136="Menor")),"Moderado",IF(OR(AND(M136="Muy Baja",P136="Mayor"),AND(M136="Baja",P136="Mayor"),AND(M136="Media",P136="Mayor"),AND(M136="Alta",P136="Moderado"),AND(M136="Alta",P136="Mayor"),AND(M136="Muy Alta",P136="Leve"),AND(M136="Muy Alta",P136="Menor"),AND(M136="Muy Alta",P136="Moderado"),AND(M136="Muy Alta",P136="Mayor")),"Alto",IF(OR(AND(M136="Muy Baja",P136="Catastrófico"),AND(M136="Baja",P136="Catastrófico"),AND(M136="Media",P136="Catastrófico"),AND(M136="Alta",P136="Catastrófico"),AND(M136="Muy Alta",P136="Catastrófico")),"Extremo",""))))</f>
        <v>Moderado</v>
      </c>
      <c r="S136" s="859">
        <v>1</v>
      </c>
      <c r="T136" s="575" t="s">
        <v>760</v>
      </c>
      <c r="U136" s="577" t="str">
        <f>IF(OR(V136="Preventivo",V136="Detectivo"),"Probabilidad",IF(V136="Correctivo","Impacto",""))</f>
        <v>Probabilidad</v>
      </c>
      <c r="V136" s="598" t="s">
        <v>12</v>
      </c>
      <c r="W136" s="598" t="s">
        <v>7</v>
      </c>
      <c r="X136" s="603" t="str">
        <f t="shared" si="60"/>
        <v>40%</v>
      </c>
      <c r="Y136" s="573" t="s">
        <v>17</v>
      </c>
      <c r="Z136" s="596" t="s">
        <v>20</v>
      </c>
      <c r="AA136" s="598" t="s">
        <v>105</v>
      </c>
      <c r="AB136" s="668"/>
      <c r="AC136" s="592" t="s">
        <v>376</v>
      </c>
      <c r="AD136" s="864">
        <v>0.6</v>
      </c>
      <c r="AE136" s="711" t="str">
        <f t="shared" si="59"/>
        <v>Media</v>
      </c>
      <c r="AF136" s="603">
        <f t="shared" si="52"/>
        <v>0.6</v>
      </c>
      <c r="AG136" s="677" t="str">
        <f>IFERROR(IF(AH136="","",IF(AH136&lt;=0.2,"Leve",IF(AH136&lt;=0.4,"Menor",IF(AH136&lt;=0.6,"Moderado",IF(AH136&lt;=0.8,"Mayor","Catastrófico"))))),"")</f>
        <v>Menor</v>
      </c>
      <c r="AH136" s="603">
        <f>IFERROR(IF(U136="Impacto",(Q136-(+Q136*X136)),IF(U136="Probabilidad",Q136,"")),"")</f>
        <v>0.4</v>
      </c>
      <c r="AI136" s="720" t="str">
        <f t="shared" si="57"/>
        <v>Moderado</v>
      </c>
      <c r="AJ136" s="720" t="str">
        <f>$AI$135</f>
        <v>Alto</v>
      </c>
      <c r="AK136" s="598" t="s">
        <v>119</v>
      </c>
    </row>
    <row r="137" spans="1:80" ht="84" customHeight="1" x14ac:dyDescent="0.2">
      <c r="A137" s="682"/>
      <c r="B137" s="660"/>
      <c r="C137" s="814"/>
      <c r="D137" s="649"/>
      <c r="E137" s="659"/>
      <c r="F137" s="576"/>
      <c r="G137" s="654"/>
      <c r="H137" s="654"/>
      <c r="I137" s="746"/>
      <c r="J137" s="593"/>
      <c r="K137" s="595"/>
      <c r="L137" s="731"/>
      <c r="M137" s="698"/>
      <c r="N137" s="691"/>
      <c r="O137" s="646"/>
      <c r="P137" s="566"/>
      <c r="Q137" s="738"/>
      <c r="R137" s="570"/>
      <c r="S137" s="595"/>
      <c r="T137" s="576"/>
      <c r="U137" s="722"/>
      <c r="V137" s="599"/>
      <c r="W137" s="599"/>
      <c r="X137" s="604"/>
      <c r="Y137" s="574"/>
      <c r="Z137" s="674"/>
      <c r="AA137" s="602"/>
      <c r="AB137" s="669"/>
      <c r="AC137" s="655"/>
      <c r="AD137" s="865"/>
      <c r="AE137" s="712"/>
      <c r="AF137" s="634"/>
      <c r="AG137" s="678"/>
      <c r="AH137" s="634"/>
      <c r="AI137" s="721"/>
      <c r="AJ137" s="721"/>
      <c r="AK137" s="602"/>
    </row>
    <row r="138" spans="1:80" s="134" customFormat="1" ht="184.5" customHeight="1" x14ac:dyDescent="0.2">
      <c r="A138" s="682"/>
      <c r="B138" s="660"/>
      <c r="C138" s="814"/>
      <c r="D138" s="650"/>
      <c r="E138" s="346">
        <v>67</v>
      </c>
      <c r="F138" s="267" t="s">
        <v>761</v>
      </c>
      <c r="G138" s="263" t="s">
        <v>762</v>
      </c>
      <c r="H138" s="263" t="s">
        <v>763</v>
      </c>
      <c r="I138" s="270" t="s">
        <v>393</v>
      </c>
      <c r="J138" s="364" t="s">
        <v>232</v>
      </c>
      <c r="K138" s="219" t="s">
        <v>234</v>
      </c>
      <c r="L138" s="334">
        <v>12</v>
      </c>
      <c r="M138" s="348" t="str">
        <f>IF(L138&lt;=0,"",IF(L138&lt;=2,"Muy Baja",IF(L138&lt;=24,"Baja",IF(L138&lt;=500,"Media",IF(L138&lt;=5000,"Alta","Muy Alta")))))</f>
        <v>Baja</v>
      </c>
      <c r="N138" s="349">
        <f>IF(M138="","",IF(M138="Muy Baja",0.2,IF(M138="Baja",0.4,IF(M138="Media",0.6,IF(M138="Alta",0.8,IF(M138="Muy Alta",1,))))))</f>
        <v>0.4</v>
      </c>
      <c r="O138" s="227" t="s">
        <v>84</v>
      </c>
      <c r="P138" s="306" t="str">
        <f>IF(OR(O138='6.Tabla Impacto'!$C$11,O138='6.Tabla Impacto'!$D$11),"Leve",IF(OR(O138='6.Tabla Impacto'!$C$12,O138='6.Tabla Impacto'!$D$12),"Menor",IF(OR(O138='6.Tabla Impacto'!$C$13,O138='6.Tabla Impacto'!$D$13),"Moderado",IF(OR(O138='6.Tabla Impacto'!$C$14,O138='6.Tabla Impacto'!$D$14),"Mayor",IF(OR(O138='6.Tabla Impacto'!$C$15,O138='6.Tabla Impacto'!$D$15),"Catastrófico","")))))</f>
        <v>Leve</v>
      </c>
      <c r="Q138" s="369">
        <f>IF(P138="","",IF(P138="Leve",0.2,IF(P138="Menor",0.4,IF(P138="Moderado",0.6,IF(P138="Mayor",0.8,IF(P138="Catastrófico",1,))))))</f>
        <v>0.2</v>
      </c>
      <c r="R138" s="309" t="str">
        <f>IF(OR(AND(M138="Muy Baja",P138="Leve"),AND(M138="Muy Baja",P138="Menor"),AND(M138="Baja",P138="Leve")),"Bajo",IF(OR(AND(M138="Muy baja",P138="Moderado"),AND(M138="Baja",P138="Menor"),AND(M138="Baja",P138="Moderado"),AND(M138="Media",P138="Leve"),AND(M138="Media",P138="Menor"),AND(M138="Media",P138="Moderado"),AND(M138="Alta",P138="Leve"),AND(M138="Alta",P138="Menor")),"Moderado",IF(OR(AND(M138="Muy Baja",P138="Mayor"),AND(M138="Baja",P138="Mayor"),AND(M138="Media",P138="Mayor"),AND(M138="Alta",P138="Moderado"),AND(M138="Alta",P138="Mayor"),AND(M138="Muy Alta",P138="Leve"),AND(M138="Muy Alta",P138="Menor"),AND(M138="Muy Alta",P138="Moderado"),AND(M138="Muy Alta",P138="Mayor")),"Alto",IF(OR(AND(M138="Muy Baja",P138="Catastrófico"),AND(M138="Baja",P138="Catastrófico"),AND(M138="Media",P138="Catastrófico"),AND(M138="Alta",P138="Catastrófico"),AND(M138="Muy Alta",P138="Catastrófico")),"Extremo",""))))</f>
        <v>Bajo</v>
      </c>
      <c r="S138" s="319">
        <v>1</v>
      </c>
      <c r="T138" s="267" t="s">
        <v>764</v>
      </c>
      <c r="U138" s="171" t="s">
        <v>2</v>
      </c>
      <c r="V138" s="250" t="s">
        <v>12</v>
      </c>
      <c r="W138" s="250" t="s">
        <v>8</v>
      </c>
      <c r="X138" s="218">
        <v>0.4</v>
      </c>
      <c r="Y138" s="274" t="s">
        <v>17</v>
      </c>
      <c r="Z138" s="248" t="s">
        <v>20</v>
      </c>
      <c r="AA138" s="322" t="s">
        <v>413</v>
      </c>
      <c r="AB138" s="335"/>
      <c r="AC138" s="332" t="s">
        <v>765</v>
      </c>
      <c r="AD138" s="372">
        <v>0.24</v>
      </c>
      <c r="AE138" s="344" t="s">
        <v>41</v>
      </c>
      <c r="AF138" s="323">
        <f t="shared" si="52"/>
        <v>0.24</v>
      </c>
      <c r="AG138" s="342" t="str">
        <f t="shared" ref="AG138" si="61">IFERROR(IF(AH138="","",IF(AH138&lt;=0.2,"Leve",IF(AH138&lt;=0.4,"Menor",IF(AH138&lt;=0.6,"Moderado",IF(AH138&lt;=0.8,"Mayor","Catastrófico"))))),"")</f>
        <v>Leve</v>
      </c>
      <c r="AH138" s="323">
        <f t="shared" ref="AH138" si="62">IFERROR(IF(U138="Impacto",(Q138-(+Q138*X138)),IF(U138="Probabilidad",Q138,"")),"")</f>
        <v>0.2</v>
      </c>
      <c r="AI138" s="351" t="str">
        <f t="shared" si="57"/>
        <v>Bajo</v>
      </c>
      <c r="AJ138" s="213" t="str">
        <f>$AI$139</f>
        <v>Moderado</v>
      </c>
      <c r="AK138" s="322"/>
      <c r="AL138" s="234"/>
      <c r="AM138" s="234"/>
      <c r="AN138" s="234"/>
      <c r="AO138" s="234"/>
      <c r="AP138" s="234"/>
      <c r="AQ138" s="234"/>
      <c r="AR138" s="234"/>
      <c r="AS138" s="234"/>
      <c r="AT138" s="234"/>
      <c r="AU138" s="234"/>
      <c r="AV138" s="234"/>
      <c r="AW138" s="234"/>
      <c r="AX138" s="234"/>
      <c r="AY138" s="234"/>
      <c r="AZ138" s="234"/>
      <c r="BA138" s="234"/>
      <c r="BB138" s="234"/>
      <c r="BC138" s="234"/>
      <c r="BD138" s="234"/>
      <c r="BE138" s="234"/>
      <c r="BF138" s="234"/>
      <c r="BG138" s="234"/>
      <c r="BH138" s="234"/>
      <c r="BI138" s="234"/>
      <c r="BJ138" s="234"/>
      <c r="BK138" s="234"/>
      <c r="BL138" s="234"/>
      <c r="BM138" s="234"/>
      <c r="BN138" s="234"/>
      <c r="BO138" s="234"/>
      <c r="BP138" s="234"/>
      <c r="BQ138" s="234"/>
      <c r="BR138" s="234"/>
      <c r="BS138" s="234"/>
      <c r="BT138" s="234"/>
      <c r="BU138" s="234"/>
      <c r="BV138" s="234"/>
      <c r="BW138" s="234"/>
      <c r="BX138" s="234"/>
      <c r="BY138" s="234"/>
      <c r="BZ138" s="234"/>
      <c r="CA138" s="234"/>
      <c r="CB138" s="234"/>
    </row>
    <row r="139" spans="1:80" ht="279" customHeight="1" x14ac:dyDescent="0.2">
      <c r="A139" s="682"/>
      <c r="B139" s="660"/>
      <c r="C139" s="814"/>
      <c r="D139" s="261" t="s">
        <v>314</v>
      </c>
      <c r="E139" s="201">
        <v>68</v>
      </c>
      <c r="F139" s="267" t="s">
        <v>766</v>
      </c>
      <c r="G139" s="263" t="s">
        <v>767</v>
      </c>
      <c r="H139" s="263" t="s">
        <v>768</v>
      </c>
      <c r="I139" s="270" t="s">
        <v>778</v>
      </c>
      <c r="J139" s="364" t="s">
        <v>218</v>
      </c>
      <c r="K139" s="219" t="s">
        <v>199</v>
      </c>
      <c r="L139" s="216">
        <v>540</v>
      </c>
      <c r="M139" s="217" t="str">
        <f>IF(L139&lt;=0,"",IF(L139&lt;=2,"Muy Baja",IF(L139&lt;=24,"Baja",IF(L139&lt;=500,"Media",IF(L139&lt;=5000,"Alta","Muy Alta")))))</f>
        <v>Alta</v>
      </c>
      <c r="N139" s="214">
        <f>IF(M139="","",IF(M139="Muy Baja",0.2,IF(M139="Baja",0.4,IF(M139="Media",0.6,IF(M139="Alta",0.8,IF(M139="Muy Alta",1,))))))</f>
        <v>0.8</v>
      </c>
      <c r="O139" s="214" t="s">
        <v>85</v>
      </c>
      <c r="P139" s="217" t="str">
        <f>IF(OR(O139='6.Tabla Impacto'!$C$11,O139='6.Tabla Impacto'!$D$11),"Leve",IF(OR(O139='6.Tabla Impacto'!$C$12,O139='6.Tabla Impacto'!$D$12),"Menor",IF(OR(O139='6.Tabla Impacto'!$C$13,O139='6.Tabla Impacto'!$D$13),"Moderado",IF(OR(O139='6.Tabla Impacto'!$C$14,O139='6.Tabla Impacto'!$D$14),"Mayor",IF(OR(O139='6.Tabla Impacto'!$C$15,O139='6.Tabla Impacto'!$D$15),"Catastrófico","")))))</f>
        <v>Moderado</v>
      </c>
      <c r="Q139" s="214">
        <f>IF(P139="","",IF(P139="Leve",0.2,IF(P139="Menor",0.4,IF(P139="Moderado",0.6,IF(P139="Mayor",0.8,IF(P139="Catastrófico",1,))))))</f>
        <v>0.6</v>
      </c>
      <c r="R139" s="215" t="str">
        <f>IF(OR(AND(M139="Muy Baja",P139="Leve"),AND(M139="Muy Baja",P139="Menor"),AND(M139="Baja",P139="Leve")),"Bajo",IF(OR(AND(M139="Muy baja",P139="Moderado"),AND(M139="Baja",P139="Menor"),AND(M139="Baja",P139="Moderado"),AND(M139="Media",P139="Leve"),AND(M139="Media",P139="Menor"),AND(M139="Media",P139="Moderado"),AND(M139="Alta",P139="Leve"),AND(M139="Alta",P139="Menor")),"Moderado",IF(OR(AND(M139="Muy Baja",P139="Mayor"),AND(M139="Baja",P139="Mayor"),AND(M139="Media",P139="Mayor"),AND(M139="Alta",P139="Moderado"),AND(M139="Alta",P139="Mayor"),AND(M139="Muy Alta",P139="Leve"),AND(M139="Muy Alta",P139="Menor"),AND(M139="Muy Alta",P139="Moderado"),AND(M139="Muy Alta",P139="Mayor")),"Alto",IF(OR(AND(M139="Muy Baja",P139="Catastrófico"),AND(M139="Baja",P139="Catastrófico"),AND(M139="Media",P139="Catastrófico"),AND(M139="Alta",P139="Catastrófico"),AND(M139="Muy Alta",P139="Catastrófico")),"Extremo",""))))</f>
        <v>Alto</v>
      </c>
      <c r="S139" s="219">
        <v>1</v>
      </c>
      <c r="T139" s="267" t="s">
        <v>769</v>
      </c>
      <c r="U139" s="140" t="str">
        <f>IF(OR(V139="Preventivo",V139="Detectivo"),"Probabilidad",IF(V139="Correctivo","Impacto",""))</f>
        <v>Probabilidad</v>
      </c>
      <c r="V139" s="248" t="s">
        <v>12</v>
      </c>
      <c r="W139" s="248" t="s">
        <v>7</v>
      </c>
      <c r="X139" s="139" t="str">
        <f t="shared" si="60"/>
        <v>40%</v>
      </c>
      <c r="Y139" s="248" t="s">
        <v>17</v>
      </c>
      <c r="Z139" s="248" t="s">
        <v>20</v>
      </c>
      <c r="AA139" s="248" t="s">
        <v>105</v>
      </c>
      <c r="AB139" s="364"/>
      <c r="AC139" s="364" t="s">
        <v>541</v>
      </c>
      <c r="AD139" s="387">
        <v>0.6</v>
      </c>
      <c r="AE139" s="143" t="str">
        <f t="shared" si="59"/>
        <v>Media</v>
      </c>
      <c r="AF139" s="139">
        <f t="shared" si="52"/>
        <v>0.6</v>
      </c>
      <c r="AG139" s="143" t="str">
        <f t="shared" si="53"/>
        <v>Moderado</v>
      </c>
      <c r="AH139" s="139">
        <f>IFERROR(IF(U139="Impacto",(Q139-(+Q139*X139)),IF(U139="Probabilidad",Q139,"")),"")</f>
        <v>0.6</v>
      </c>
      <c r="AI139" s="213" t="str">
        <f t="shared" ref="AI139:AI180" si="63">IFERROR(IF(OR(AND(AE139="Muy Baja",AG139="Leve"),AND(AE139="Muy Baja",AG139="Menor"),AND(AE139="Baja",AG139="Leve")),"Bajo",IF(OR(AND(AE139="Muy baja",AG139="Moderado"),AND(AE139="Baja",AG139="Menor"),AND(AE139="Baja",AG139="Moderado"),AND(AE139="Media",AG139="Leve"),AND(AE139="Media",AG139="Menor"),AND(AE139="Media",AG139="Moderado"),AND(AE139="Alta",AG139="Leve"),AND(AE139="Alta",AG139="Menor")),"Moderado",IF(OR(AND(AE139="Muy Baja",AG139="Mayor"),AND(AE139="Baja",AG139="Mayor"),AND(AE139="Media",AG139="Mayor"),AND(AE139="Alta",AG139="Moderado"),AND(AE139="Alta",AG139="Mayor"),AND(AE139="Muy Alta",AG139="Leve"),AND(AE139="Muy Alta",AG139="Menor"),AND(AE139="Muy Alta",AG139="Moderado"),AND(AE139="Muy Alta",AG139="Mayor")),"Alto",IF(OR(AND(AE139="Muy Baja",AG139="Catastrófico"),AND(AE139="Baja",AG139="Catastrófico"),AND(AE139="Media",AG139="Catastrófico"),AND(AE139="Alta",AG139="Catastrófico"),AND(AE139="Muy Alta",AG139="Catastrófico")),"Extremo","")))),"")</f>
        <v>Moderado</v>
      </c>
      <c r="AJ139" s="213" t="str">
        <f>$AI$139</f>
        <v>Moderado</v>
      </c>
      <c r="AK139" s="248" t="s">
        <v>119</v>
      </c>
    </row>
    <row r="140" spans="1:80" s="134" customFormat="1" ht="261.75" customHeight="1" x14ac:dyDescent="0.2">
      <c r="A140" s="682"/>
      <c r="B140" s="660"/>
      <c r="C140" s="814"/>
      <c r="D140" s="260" t="s">
        <v>377</v>
      </c>
      <c r="E140" s="345">
        <v>69</v>
      </c>
      <c r="F140" s="267" t="s">
        <v>770</v>
      </c>
      <c r="G140" s="263" t="s">
        <v>771</v>
      </c>
      <c r="H140" s="263" t="s">
        <v>772</v>
      </c>
      <c r="I140" s="270" t="s">
        <v>779</v>
      </c>
      <c r="J140" s="364" t="s">
        <v>218</v>
      </c>
      <c r="K140" s="219" t="s">
        <v>199</v>
      </c>
      <c r="L140" s="216">
        <v>2044</v>
      </c>
      <c r="M140" s="217" t="str">
        <f>IF(L140&lt;=0,"",IF(L140&lt;=2,"Muy Baja",IF(L140&lt;=24,"Baja",IF(L140&lt;=500,"Media",IF(L140&lt;=5000,"Alta","Muy Alta")))))</f>
        <v>Alta</v>
      </c>
      <c r="N140" s="214">
        <f>IF(M140="","",IF(M140="Muy Baja",0.2,IF(M140="Baja",0.4,IF(M140="Media",0.6,IF(M140="Alta",0.8,IF(M140="Muy Alta",1,))))))</f>
        <v>0.8</v>
      </c>
      <c r="O140" s="214" t="s">
        <v>133</v>
      </c>
      <c r="P140" s="217" t="str">
        <f>IF(OR(O140='6.Tabla Impacto'!$C$11,O140='6.Tabla Impacto'!$D$11),"Leve",IF(OR(O140='6.Tabla Impacto'!$C$12,O140='6.Tabla Impacto'!$D$12),"Menor",IF(OR(O140='6.Tabla Impacto'!$C$13,O140='6.Tabla Impacto'!$D$13),"Moderado",IF(OR(O140='6.Tabla Impacto'!$C$14,O140='6.Tabla Impacto'!$D$14),"Mayor",IF(OR(O140='6.Tabla Impacto'!$C$15,O140='6.Tabla Impacto'!$D$15),"Catastrófico","")))))</f>
        <v>Mayor</v>
      </c>
      <c r="Q140" s="214">
        <f>IF(P140="","",IF(P140="Leve",0.2,IF(P140="Menor",0.4,IF(P140="Moderado",0.6,IF(P140="Mayor",0.8,IF(P140="Catastrófico",1,))))))</f>
        <v>0.8</v>
      </c>
      <c r="R140" s="215" t="str">
        <f>IF(OR(AND(M140="Muy Baja",P140="Leve"),AND(M140="Muy Baja",P140="Menor"),AND(M140="Baja",P140="Leve")),"Bajo",IF(OR(AND(M140="Muy baja",P140="Moderado"),AND(M140="Baja",P140="Menor"),AND(M140="Baja",P140="Moderado"),AND(M140="Media",P140="Leve"),AND(M140="Media",P140="Menor"),AND(M140="Media",P140="Moderado"),AND(M140="Alta",P140="Leve"),AND(M140="Alta",P140="Menor")),"Moderado",IF(OR(AND(M140="Muy Baja",P140="Mayor"),AND(M140="Baja",P140="Mayor"),AND(M140="Media",P140="Mayor"),AND(M140="Alta",P140="Moderado"),AND(M140="Alta",P140="Mayor"),AND(M140="Muy Alta",P140="Leve"),AND(M140="Muy Alta",P140="Menor"),AND(M140="Muy Alta",P140="Moderado"),AND(M140="Muy Alta",P140="Mayor")),"Alto",IF(OR(AND(M140="Muy Baja",P140="Catastrófico"),AND(M140="Baja",P140="Catastrófico"),AND(M140="Media",P140="Catastrófico"),AND(M140="Alta",P140="Catastrófico"),AND(M140="Muy Alta",P140="Catastrófico")),"Extremo",""))))</f>
        <v>Alto</v>
      </c>
      <c r="S140" s="319">
        <v>1</v>
      </c>
      <c r="T140" s="267" t="s">
        <v>773</v>
      </c>
      <c r="U140" s="140" t="s">
        <v>2</v>
      </c>
      <c r="V140" s="248" t="s">
        <v>12</v>
      </c>
      <c r="W140" s="248" t="s">
        <v>7</v>
      </c>
      <c r="X140" s="139" t="str">
        <f t="shared" si="60"/>
        <v>40%</v>
      </c>
      <c r="Y140" s="248" t="s">
        <v>17</v>
      </c>
      <c r="Z140" s="248" t="s">
        <v>20</v>
      </c>
      <c r="AA140" s="248" t="s">
        <v>105</v>
      </c>
      <c r="AB140" s="335"/>
      <c r="AC140" s="332" t="s">
        <v>610</v>
      </c>
      <c r="AD140" s="387">
        <v>0.6</v>
      </c>
      <c r="AE140" s="143" t="str">
        <f t="shared" si="59"/>
        <v>Media</v>
      </c>
      <c r="AF140" s="139">
        <f t="shared" si="52"/>
        <v>0.6</v>
      </c>
      <c r="AG140" s="143" t="str">
        <f t="shared" si="53"/>
        <v>Mayor</v>
      </c>
      <c r="AH140" s="139">
        <f>IFERROR(IF(U140="Impacto",(Q140-(+Q140*X140)),IF(U140="Probabilidad",Q140,"")),"")</f>
        <v>0.8</v>
      </c>
      <c r="AI140" s="213" t="str">
        <f t="shared" si="63"/>
        <v>Alto</v>
      </c>
      <c r="AJ140" s="213" t="str">
        <f>$AI$139</f>
        <v>Moderado</v>
      </c>
      <c r="AK140" s="248" t="s">
        <v>119</v>
      </c>
      <c r="AL140" s="234"/>
      <c r="AM140" s="234"/>
      <c r="AN140" s="234"/>
      <c r="AO140" s="234"/>
      <c r="AP140" s="234"/>
      <c r="AQ140" s="234"/>
      <c r="AR140" s="234"/>
      <c r="AS140" s="234"/>
      <c r="AT140" s="234"/>
      <c r="AU140" s="234"/>
      <c r="AV140" s="234"/>
      <c r="AW140" s="234"/>
      <c r="AX140" s="234"/>
      <c r="AY140" s="234"/>
      <c r="AZ140" s="234"/>
      <c r="BA140" s="234"/>
      <c r="BB140" s="234"/>
      <c r="BC140" s="234"/>
      <c r="BD140" s="234"/>
      <c r="BE140" s="234"/>
      <c r="BF140" s="234"/>
      <c r="BG140" s="234"/>
      <c r="BH140" s="234"/>
      <c r="BI140" s="234"/>
      <c r="BJ140" s="234"/>
      <c r="BK140" s="234"/>
      <c r="BL140" s="234"/>
      <c r="BM140" s="234"/>
      <c r="BN140" s="234"/>
      <c r="BO140" s="234"/>
      <c r="BP140" s="234"/>
      <c r="BQ140" s="234"/>
      <c r="BR140" s="234"/>
      <c r="BS140" s="234"/>
      <c r="BT140" s="234"/>
      <c r="BU140" s="234"/>
      <c r="BV140" s="234"/>
      <c r="BW140" s="234"/>
      <c r="BX140" s="234"/>
      <c r="BY140" s="234"/>
      <c r="BZ140" s="234"/>
      <c r="CA140" s="234"/>
      <c r="CB140" s="234"/>
    </row>
    <row r="141" spans="1:80" ht="151.5" customHeight="1" x14ac:dyDescent="0.2">
      <c r="A141" s="682"/>
      <c r="B141" s="660"/>
      <c r="C141" s="814"/>
      <c r="D141" s="789" t="s">
        <v>315</v>
      </c>
      <c r="E141" s="658">
        <v>70</v>
      </c>
      <c r="F141" s="815" t="s">
        <v>774</v>
      </c>
      <c r="G141" s="707" t="s">
        <v>780</v>
      </c>
      <c r="H141" s="653" t="s">
        <v>781</v>
      </c>
      <c r="I141" s="744" t="s">
        <v>782</v>
      </c>
      <c r="J141" s="592" t="s">
        <v>231</v>
      </c>
      <c r="K141" s="594" t="s">
        <v>199</v>
      </c>
      <c r="L141" s="605">
        <v>365</v>
      </c>
      <c r="M141" s="565" t="str">
        <f t="shared" ref="M141:M145" si="64">IF(L141&lt;=0,"",IF(L141&lt;=2,"Muy Baja",IF(L141&lt;=24,"Baja",IF(L141&lt;=500,"Media",IF(L141&lt;=5000,"Alta","Muy Alta")))))</f>
        <v>Media</v>
      </c>
      <c r="N141" s="567">
        <f t="shared" ref="N141:N145" si="65">IF(M141="","",IF(M141="Muy Baja",0.2,IF(M141="Baja",0.4,IF(M141="Media",0.6,IF(M141="Alta",0.8,IF(M141="Muy Alta",1,))))))</f>
        <v>0.6</v>
      </c>
      <c r="O141" s="567" t="s">
        <v>86</v>
      </c>
      <c r="P141" s="565" t="str">
        <f>IF(OR(O141='6.Tabla Impacto'!$C$11,O141='6.Tabla Impacto'!$D$11),"Leve",IF(OR(O141='6.Tabla Impacto'!$C$12,O141='6.Tabla Impacto'!$D$12),"Menor",IF(OR(O141='6.Tabla Impacto'!$C$13,O141='6.Tabla Impacto'!$D$13),"Moderado",IF(OR(O141='6.Tabla Impacto'!$C$14,O141='6.Tabla Impacto'!$D$14),"Mayor",IF(OR(O141='6.Tabla Impacto'!$C$15,O141='6.Tabla Impacto'!$D$15),"Catastrófico","")))))</f>
        <v>Menor</v>
      </c>
      <c r="Q141" s="567">
        <v>0.6</v>
      </c>
      <c r="R141" s="562" t="str">
        <f t="shared" ref="R141:R145" si="66">IF(OR(AND(M141="Muy Baja",P141="Leve"),AND(M141="Muy Baja",P141="Menor"),AND(M141="Baja",P141="Leve")),"Bajo",IF(OR(AND(M141="Muy baja",P141="Moderado"),AND(M141="Baja",P141="Menor"),AND(M141="Baja",P141="Moderado"),AND(M141="Media",P141="Leve"),AND(M141="Media",P141="Menor"),AND(M141="Media",P141="Moderado"),AND(M141="Alta",P141="Leve"),AND(M141="Alta",P141="Menor")),"Moderado",IF(OR(AND(M141="Muy Baja",P141="Mayor"),AND(M141="Baja",P141="Mayor"),AND(M141="Media",P141="Mayor"),AND(M141="Alta",P141="Moderado"),AND(M141="Alta",P141="Mayor"),AND(M141="Muy Alta",P141="Leve"),AND(M141="Muy Alta",P141="Menor"),AND(M141="Muy Alta",P141="Moderado"),AND(M141="Muy Alta",P141="Mayor")),"Alto",IF(OR(AND(M141="Muy Baja",P141="Catastrófico"),AND(M141="Baja",P141="Catastrófico"),AND(M141="Media",P141="Catastrófico"),AND(M141="Alta",P141="Catastrófico"),AND(M141="Muy Alta",P141="Catastrófico")),"Extremo",""))))</f>
        <v>Moderado</v>
      </c>
      <c r="S141" s="319">
        <v>1</v>
      </c>
      <c r="T141" s="267" t="s">
        <v>783</v>
      </c>
      <c r="U141" s="315" t="str">
        <f t="shared" ref="U141:U146" si="67">IF(OR(V141="Preventivo",V141="Detectivo"),"Probabilidad",IF(V141="Correctivo","Impacto",""))</f>
        <v>Probabilidad</v>
      </c>
      <c r="V141" s="322" t="s">
        <v>12</v>
      </c>
      <c r="W141" s="322" t="s">
        <v>7</v>
      </c>
      <c r="X141" s="325" t="str">
        <f t="shared" si="60"/>
        <v>40%</v>
      </c>
      <c r="Y141" s="338" t="s">
        <v>17</v>
      </c>
      <c r="Z141" s="339" t="s">
        <v>20</v>
      </c>
      <c r="AA141" s="136" t="s">
        <v>105</v>
      </c>
      <c r="AB141" s="354"/>
      <c r="AC141" s="332" t="s">
        <v>542</v>
      </c>
      <c r="AD141" s="388">
        <v>0.6</v>
      </c>
      <c r="AE141" s="138" t="str">
        <f t="shared" ref="AE141:AE145" si="68">IFERROR(IF(AD141="","",IF(AD141&lt;=0.2,"Muy Baja",IF(AD141&lt;=0.4,"Baja",IF(AD141&lt;=0.6,"Media",IF(AD141&lt;=0.8,"Alta","Muy Alta"))))),"")</f>
        <v>Media</v>
      </c>
      <c r="AF141" s="139">
        <f t="shared" si="52"/>
        <v>0.6</v>
      </c>
      <c r="AG141" s="343" t="s">
        <v>71</v>
      </c>
      <c r="AH141" s="325">
        <f>IFERROR(IF(U141="Impacto",(Q141-(+Q141*X141)),IF(U141="Probabilidad",Q141,"")),"")</f>
        <v>0.6</v>
      </c>
      <c r="AI141" s="352" t="str">
        <f t="shared" si="63"/>
        <v>Moderado</v>
      </c>
      <c r="AJ141" s="352" t="str">
        <f>$AI$141</f>
        <v>Moderado</v>
      </c>
      <c r="AK141" s="248" t="s">
        <v>119</v>
      </c>
    </row>
    <row r="142" spans="1:80" ht="163.5" customHeight="1" x14ac:dyDescent="0.2">
      <c r="A142" s="682"/>
      <c r="B142" s="660"/>
      <c r="C142" s="814"/>
      <c r="D142" s="790"/>
      <c r="E142" s="692"/>
      <c r="F142" s="742"/>
      <c r="G142" s="743"/>
      <c r="H142" s="661"/>
      <c r="I142" s="745"/>
      <c r="J142" s="647"/>
      <c r="K142" s="609"/>
      <c r="L142" s="637"/>
      <c r="M142" s="572"/>
      <c r="N142" s="571"/>
      <c r="O142" s="571"/>
      <c r="P142" s="572"/>
      <c r="Q142" s="571"/>
      <c r="R142" s="563"/>
      <c r="S142" s="219">
        <v>2</v>
      </c>
      <c r="T142" s="267" t="s">
        <v>784</v>
      </c>
      <c r="U142" s="148" t="str">
        <f t="shared" si="67"/>
        <v>Probabilidad</v>
      </c>
      <c r="V142" s="149" t="s">
        <v>12</v>
      </c>
      <c r="W142" s="149" t="s">
        <v>7</v>
      </c>
      <c r="X142" s="150" t="str">
        <f t="shared" si="60"/>
        <v>40%</v>
      </c>
      <c r="Y142" s="151" t="s">
        <v>17</v>
      </c>
      <c r="Z142" s="152" t="s">
        <v>20</v>
      </c>
      <c r="AA142" s="153" t="s">
        <v>105</v>
      </c>
      <c r="AB142" s="354"/>
      <c r="AC142" s="332" t="s">
        <v>786</v>
      </c>
      <c r="AD142" s="387">
        <v>0.6</v>
      </c>
      <c r="AE142" s="147" t="str">
        <f t="shared" si="68"/>
        <v>Media</v>
      </c>
      <c r="AF142" s="139">
        <f t="shared" si="52"/>
        <v>0.6</v>
      </c>
      <c r="AG142" s="343" t="s">
        <v>71</v>
      </c>
      <c r="AH142" s="325">
        <v>0.6</v>
      </c>
      <c r="AI142" s="352" t="str">
        <f t="shared" si="63"/>
        <v>Moderado</v>
      </c>
      <c r="AJ142" s="213" t="str">
        <f>$AI$142</f>
        <v>Moderado</v>
      </c>
      <c r="AK142" s="248" t="s">
        <v>119</v>
      </c>
    </row>
    <row r="143" spans="1:80" ht="147" customHeight="1" x14ac:dyDescent="0.2">
      <c r="A143" s="682"/>
      <c r="B143" s="660"/>
      <c r="C143" s="814"/>
      <c r="D143" s="791"/>
      <c r="E143" s="659"/>
      <c r="F143" s="576"/>
      <c r="G143" s="708"/>
      <c r="H143" s="654"/>
      <c r="I143" s="746"/>
      <c r="J143" s="655"/>
      <c r="K143" s="595"/>
      <c r="L143" s="606"/>
      <c r="M143" s="566"/>
      <c r="N143" s="568"/>
      <c r="O143" s="568"/>
      <c r="P143" s="566"/>
      <c r="Q143" s="738"/>
      <c r="R143" s="570"/>
      <c r="S143" s="319">
        <v>3</v>
      </c>
      <c r="T143" s="267" t="s">
        <v>785</v>
      </c>
      <c r="U143" s="148" t="str">
        <f t="shared" si="67"/>
        <v>Probabilidad</v>
      </c>
      <c r="V143" s="322" t="s">
        <v>12</v>
      </c>
      <c r="W143" s="322" t="s">
        <v>7</v>
      </c>
      <c r="X143" s="325" t="str">
        <f t="shared" si="60"/>
        <v>40%</v>
      </c>
      <c r="Y143" s="338" t="s">
        <v>17</v>
      </c>
      <c r="Z143" s="339" t="s">
        <v>20</v>
      </c>
      <c r="AA143" s="136" t="s">
        <v>105</v>
      </c>
      <c r="AB143" s="354"/>
      <c r="AC143" s="332" t="s">
        <v>787</v>
      </c>
      <c r="AD143" s="388">
        <v>0.6</v>
      </c>
      <c r="AE143" s="138" t="str">
        <f t="shared" si="68"/>
        <v>Media</v>
      </c>
      <c r="AF143" s="325">
        <f>+AD143</f>
        <v>0.6</v>
      </c>
      <c r="AG143" s="343" t="s">
        <v>71</v>
      </c>
      <c r="AH143" s="325">
        <v>0.6</v>
      </c>
      <c r="AI143" s="352" t="str">
        <f t="shared" si="63"/>
        <v>Moderado</v>
      </c>
      <c r="AJ143" s="352" t="str">
        <f>$AI$143</f>
        <v>Moderado</v>
      </c>
      <c r="AK143" s="248" t="s">
        <v>119</v>
      </c>
    </row>
    <row r="144" spans="1:80" ht="87.75" customHeight="1" x14ac:dyDescent="0.2">
      <c r="A144" s="682"/>
      <c r="B144" s="660"/>
      <c r="C144" s="814"/>
      <c r="D144" s="275" t="s">
        <v>316</v>
      </c>
      <c r="E144" s="201">
        <v>71</v>
      </c>
      <c r="F144" s="267" t="s">
        <v>935</v>
      </c>
      <c r="G144" s="263" t="s">
        <v>317</v>
      </c>
      <c r="H144" s="263" t="s">
        <v>318</v>
      </c>
      <c r="I144" s="219" t="s">
        <v>216</v>
      </c>
      <c r="J144" s="364" t="s">
        <v>109</v>
      </c>
      <c r="K144" s="219" t="s">
        <v>199</v>
      </c>
      <c r="L144" s="216">
        <v>400</v>
      </c>
      <c r="M144" s="217" t="str">
        <f t="shared" si="64"/>
        <v>Media</v>
      </c>
      <c r="N144" s="214">
        <f t="shared" si="65"/>
        <v>0.6</v>
      </c>
      <c r="O144" s="225" t="s">
        <v>132</v>
      </c>
      <c r="P144" s="348" t="str">
        <f>IF(OR(O144='6.Tabla Impacto'!$C$11,O144='6.Tabla Impacto'!$D$11),"Leve",IF(OR(O144='6.Tabla Impacto'!$C$12,O144='6.Tabla Impacto'!$D$12),"Menor",IF(OR(O144='6.Tabla Impacto'!$C$13,O144='6.Tabla Impacto'!$D$13),"Moderado",IF(OR(O144='6.Tabla Impacto'!$C$14,O144:O144='6.Tabla Impacto'!$D$14),"Mayor",IF(OR(O144='6.Tabla Impacto'!$C$15,O144='6.Tabla Impacto'!$D$15),"Catastrófico","")))))</f>
        <v>Moderado</v>
      </c>
      <c r="Q144" s="214">
        <f t="shared" ref="Q144:Q145" si="69">IF(P144="","",IF(P144="Leve",0.2,IF(P144="Menor",0.4,IF(P144="Moderado",0.6,IF(P144="Mayor",0.8,IF(P144="Catastrófico",1,))))))</f>
        <v>0.6</v>
      </c>
      <c r="R144" s="215" t="str">
        <f t="shared" si="66"/>
        <v>Moderado</v>
      </c>
      <c r="S144" s="219">
        <v>1</v>
      </c>
      <c r="T144" s="364" t="s">
        <v>378</v>
      </c>
      <c r="U144" s="148" t="str">
        <f t="shared" si="67"/>
        <v>Probabilidad</v>
      </c>
      <c r="V144" s="149" t="s">
        <v>12</v>
      </c>
      <c r="W144" s="149" t="s">
        <v>7</v>
      </c>
      <c r="X144" s="325" t="str">
        <f t="shared" si="60"/>
        <v>40%</v>
      </c>
      <c r="Y144" s="338" t="s">
        <v>17</v>
      </c>
      <c r="Z144" s="339" t="s">
        <v>20</v>
      </c>
      <c r="AA144" s="136" t="s">
        <v>105</v>
      </c>
      <c r="AB144" s="245"/>
      <c r="AC144" s="332" t="s">
        <v>379</v>
      </c>
      <c r="AD144" s="387">
        <v>0.6</v>
      </c>
      <c r="AE144" s="147" t="str">
        <f t="shared" si="68"/>
        <v>Media</v>
      </c>
      <c r="AF144" s="139">
        <f>+AD144</f>
        <v>0.6</v>
      </c>
      <c r="AG144" s="143" t="str">
        <f t="shared" ref="AG144:AG145" si="70">IFERROR(IF(AH144="","",IF(AH144&lt;=0.2,"Leve",IF(AH144&lt;=0.4,"Menor",IF(AH144&lt;=0.6,"Moderado",IF(AH144&lt;=0.8,"Mayor","Catastrófico"))))),"")</f>
        <v>Moderado</v>
      </c>
      <c r="AH144" s="139">
        <f>IFERROR(IF(U144="Impacto",(Q144-(+Q144*X144)),IF(U144="Probabilidad",Q144,"")),"")</f>
        <v>0.6</v>
      </c>
      <c r="AI144" s="213" t="str">
        <f t="shared" si="63"/>
        <v>Moderado</v>
      </c>
      <c r="AJ144" s="213" t="str">
        <f>$AI$144</f>
        <v>Moderado</v>
      </c>
      <c r="AK144" s="248" t="s">
        <v>119</v>
      </c>
    </row>
    <row r="145" spans="1:80" ht="157.5" customHeight="1" x14ac:dyDescent="0.2">
      <c r="A145" s="682"/>
      <c r="B145" s="660"/>
      <c r="C145" s="814"/>
      <c r="D145" s="648" t="s">
        <v>319</v>
      </c>
      <c r="E145" s="658">
        <v>72</v>
      </c>
      <c r="F145" s="768" t="s">
        <v>936</v>
      </c>
      <c r="G145" s="741" t="s">
        <v>320</v>
      </c>
      <c r="H145" s="653" t="s">
        <v>321</v>
      </c>
      <c r="I145" s="594" t="s">
        <v>197</v>
      </c>
      <c r="J145" s="592" t="s">
        <v>109</v>
      </c>
      <c r="K145" s="594" t="s">
        <v>199</v>
      </c>
      <c r="L145" s="605">
        <v>441</v>
      </c>
      <c r="M145" s="565" t="str">
        <f t="shared" si="64"/>
        <v>Media</v>
      </c>
      <c r="N145" s="690">
        <f t="shared" si="65"/>
        <v>0.6</v>
      </c>
      <c r="O145" s="584" t="s">
        <v>132</v>
      </c>
      <c r="P145" s="656" t="str">
        <f>IF(OR(O145='6.Tabla Impacto'!$C$11,O145='6.Tabla Impacto'!$D$11),"Leve",IF(OR(O145='6.Tabla Impacto'!$C$12,O145='6.Tabla Impacto'!$D$12),"Menor",IF(OR(O145='6.Tabla Impacto'!$C$13,O145='6.Tabla Impacto'!$D$13),"Moderado",IF(OR(O145='6.Tabla Impacto'!$C$14,O145:O145='6.Tabla Impacto'!$D$14),"Mayor",IF(OR(O145='6.Tabla Impacto'!$C$15,O145='6.Tabla Impacto'!$D$15),"Catastrófico","")))))</f>
        <v>Moderado</v>
      </c>
      <c r="Q145" s="567">
        <f t="shared" si="69"/>
        <v>0.6</v>
      </c>
      <c r="R145" s="562" t="str">
        <f t="shared" si="66"/>
        <v>Moderado</v>
      </c>
      <c r="S145" s="319">
        <v>1</v>
      </c>
      <c r="T145" s="267" t="s">
        <v>442</v>
      </c>
      <c r="U145" s="315" t="str">
        <f t="shared" si="67"/>
        <v>Probabilidad</v>
      </c>
      <c r="V145" s="322" t="s">
        <v>12</v>
      </c>
      <c r="W145" s="322" t="s">
        <v>7</v>
      </c>
      <c r="X145" s="325" t="str">
        <f t="shared" si="60"/>
        <v>40%</v>
      </c>
      <c r="Y145" s="338" t="s">
        <v>17</v>
      </c>
      <c r="Z145" s="339" t="s">
        <v>20</v>
      </c>
      <c r="AA145" s="136" t="s">
        <v>105</v>
      </c>
      <c r="AB145" s="364"/>
      <c r="AC145" s="332" t="s">
        <v>689</v>
      </c>
      <c r="AD145" s="389">
        <v>0.6</v>
      </c>
      <c r="AE145" s="138" t="str">
        <f t="shared" si="68"/>
        <v>Media</v>
      </c>
      <c r="AF145" s="325">
        <f>+AD145</f>
        <v>0.6</v>
      </c>
      <c r="AG145" s="343" t="str">
        <f t="shared" si="70"/>
        <v>Moderado</v>
      </c>
      <c r="AH145" s="325">
        <f>IFERROR(IF(U145="Impacto",(Q145-(+Q145*X145)),IF(U145="Probabilidad",Q145,"")),"")</f>
        <v>0.6</v>
      </c>
      <c r="AI145" s="352" t="str">
        <f t="shared" si="63"/>
        <v>Moderado</v>
      </c>
      <c r="AJ145" s="351" t="str">
        <f>$AI$146</f>
        <v>Moderado</v>
      </c>
      <c r="AK145" s="249" t="s">
        <v>119</v>
      </c>
    </row>
    <row r="146" spans="1:80" ht="178.5" customHeight="1" x14ac:dyDescent="0.2">
      <c r="A146" s="682"/>
      <c r="B146" s="660"/>
      <c r="C146" s="814"/>
      <c r="D146" s="650"/>
      <c r="E146" s="659"/>
      <c r="F146" s="576"/>
      <c r="G146" s="654"/>
      <c r="H146" s="654"/>
      <c r="I146" s="595"/>
      <c r="J146" s="655"/>
      <c r="K146" s="595"/>
      <c r="L146" s="606"/>
      <c r="M146" s="566"/>
      <c r="N146" s="704"/>
      <c r="O146" s="585"/>
      <c r="P146" s="657"/>
      <c r="Q146" s="568"/>
      <c r="R146" s="564"/>
      <c r="S146" s="318">
        <v>2</v>
      </c>
      <c r="T146" s="267" t="s">
        <v>466</v>
      </c>
      <c r="U146" s="315" t="str">
        <f t="shared" si="67"/>
        <v>Probabilidad</v>
      </c>
      <c r="V146" s="228" t="s">
        <v>12</v>
      </c>
      <c r="W146" s="228" t="s">
        <v>7</v>
      </c>
      <c r="X146" s="163" t="str">
        <f t="shared" si="60"/>
        <v>40%</v>
      </c>
      <c r="Y146" s="164" t="s">
        <v>18</v>
      </c>
      <c r="Z146" s="165" t="s">
        <v>20</v>
      </c>
      <c r="AA146" s="166" t="s">
        <v>105</v>
      </c>
      <c r="AB146" s="210"/>
      <c r="AC146" s="329" t="s">
        <v>380</v>
      </c>
      <c r="AD146" s="390">
        <v>0.6</v>
      </c>
      <c r="AE146" s="167" t="str">
        <f t="shared" ref="AE146:AE184" si="71">IFERROR(IF(AD146="","",IF(AD146&lt;=0.2,"Muy Baja",IF(AD146&lt;=0.4,"Baja",IF(AD146&lt;=0.6,"Media",IF(AD146&lt;=0.8,"Alta","Muy Alta"))))),"")</f>
        <v>Media</v>
      </c>
      <c r="AF146" s="323">
        <f t="shared" ref="AF146:AF184" si="72">+AD146</f>
        <v>0.6</v>
      </c>
      <c r="AG146" s="342" t="str">
        <f t="shared" ref="AG146:AG171" si="73">IFERROR(IF(AH146="","",IF(AH146&lt;=0.2,"Leve",IF(AH146&lt;=0.4,"Menor",IF(AH146&lt;=0.6,"Moderado",IF(AH146&lt;=0.8,"Mayor","Catastrófico"))))),"")</f>
        <v>Moderado</v>
      </c>
      <c r="AH146" s="170">
        <f>IFERROR(IF(AND(U145="Impacto",U146="Impacto"),(AH145-(+AH145*X146)),IF(U146="Impacto",($N$51-(+$N$51*X146)),IF(U146="Probabilidad",AH145,""))),"")</f>
        <v>0.6</v>
      </c>
      <c r="AI146" s="351" t="str">
        <f t="shared" si="63"/>
        <v>Moderado</v>
      </c>
      <c r="AJ146" s="351" t="str">
        <f>$AI$146</f>
        <v>Moderado</v>
      </c>
      <c r="AK146" s="249" t="s">
        <v>119</v>
      </c>
    </row>
    <row r="147" spans="1:80" ht="215.25" customHeight="1" x14ac:dyDescent="0.2">
      <c r="A147" s="682"/>
      <c r="B147" s="660">
        <v>19</v>
      </c>
      <c r="C147" s="806" t="s">
        <v>322</v>
      </c>
      <c r="D147" s="648" t="s">
        <v>323</v>
      </c>
      <c r="E147" s="658">
        <v>73</v>
      </c>
      <c r="F147" s="575" t="s">
        <v>952</v>
      </c>
      <c r="G147" s="653" t="s">
        <v>324</v>
      </c>
      <c r="H147" s="653" t="s">
        <v>325</v>
      </c>
      <c r="I147" s="653" t="s">
        <v>214</v>
      </c>
      <c r="J147" s="592" t="s">
        <v>114</v>
      </c>
      <c r="K147" s="594" t="s">
        <v>199</v>
      </c>
      <c r="L147" s="605">
        <v>145</v>
      </c>
      <c r="M147" s="565" t="str">
        <f>IF(L147&lt;=0,"",IF(L147&lt;=2,"Muy Baja",IF(L147&lt;=24,"Baja",IF(L147&lt;=500,"Media",IF(L147&lt;=5000,"Alta","Muy Alta")))))</f>
        <v>Media</v>
      </c>
      <c r="N147" s="567">
        <f>IF(M147="","",IF(M147="Muy Baja",0.2,IF(M147="Baja",0.4,IF(M147="Media",0.6,IF(M147="Alta",0.8,IF(M147="Muy Alta",1,))))))</f>
        <v>0.6</v>
      </c>
      <c r="O147" s="567" t="s">
        <v>132</v>
      </c>
      <c r="P147" s="565" t="str">
        <f>IF(OR(O147='6.Tabla Impacto'!$C$11,O147='6.Tabla Impacto'!$D$11),"Leve",IF(OR(O147='6.Tabla Impacto'!$C$12,O147='6.Tabla Impacto'!$D$12),"Menor",IF(OR(O147='6.Tabla Impacto'!$C$13,O147='6.Tabla Impacto'!$D$13),"Moderado",IF(OR(O147='6.Tabla Impacto'!$C$14,O147:O147='6.Tabla Impacto'!$D$14),"Mayor",IF(OR(O147='6.Tabla Impacto'!$C$15,O147='6.Tabla Impacto'!$D$15),"Catastrófico","")))))</f>
        <v>Moderado</v>
      </c>
      <c r="Q147" s="567">
        <f>IF(P147="","",IF(P147="Leve",0.2,IF(P147="Menor",0.4,IF(P147="Moderado",0.6,IF(P147="Mayor",0.8,IF(P147="Catastrófico",1,))))))</f>
        <v>0.6</v>
      </c>
      <c r="R147" s="565" t="str">
        <f>IF(OR(AND(M147="Muy Baja",P147="Leve"),AND(M147="Muy Baja",P147="Menor"),AND(M147="Baja",P147="Leve")),"Bajo",IF(OR(AND(M147="Muy baja",P147="Moderado"),AND(M147="Baja",P147="Menor"),AND(M147="Baja",P147="Moderado"),AND(M147="Media",P147="Leve"),AND(M147="Media",P147="Menor"),AND(M147="Media",P147="Moderado"),AND(M147="Alta",P147="Leve"),AND(M147="Alta",P147="Menor")),"Moderado",IF(OR(AND(M147="Muy Baja",P147="Mayor"),AND(M147="Baja",P147="Mayor"),AND(M147="Media",P147="Mayor"),AND(M147="Alta",P147="Moderado"),AND(M147="Alta",P147="Mayor"),AND(M147="Muy Alta",P147="Leve"),AND(M147="Muy Alta",P147="Menor"),AND(M147="Muy Alta",P147="Moderado"),AND(M147="Muy Alta",P147="Mayor")),"Alto",IF(OR(AND(M147="Muy Baja",P147="Catastrófico"),AND(M147="Baja",P147="Catastrófico"),AND(M147="Media",P147="Catastrófico"),AND(M147="Alta",P147="Catastrófico"),AND(M147="Muy Alta",P147="Catastrófico")),"Extremo",""))))</f>
        <v>Moderado</v>
      </c>
      <c r="S147" s="219">
        <v>1</v>
      </c>
      <c r="T147" s="247" t="s">
        <v>489</v>
      </c>
      <c r="U147" s="315" t="s">
        <v>2</v>
      </c>
      <c r="V147" s="228" t="s">
        <v>12</v>
      </c>
      <c r="W147" s="228" t="s">
        <v>7</v>
      </c>
      <c r="X147" s="139" t="str">
        <f t="shared" si="60"/>
        <v>40%</v>
      </c>
      <c r="Y147" s="248" t="s">
        <v>17</v>
      </c>
      <c r="Z147" s="248" t="s">
        <v>20</v>
      </c>
      <c r="AA147" s="248" t="s">
        <v>105</v>
      </c>
      <c r="AB147" s="264"/>
      <c r="AC147" s="364" t="s">
        <v>381</v>
      </c>
      <c r="AD147" s="390">
        <v>0.6</v>
      </c>
      <c r="AE147" s="143" t="str">
        <f t="shared" si="71"/>
        <v>Media</v>
      </c>
      <c r="AF147" s="139">
        <f t="shared" si="72"/>
        <v>0.6</v>
      </c>
      <c r="AG147" s="143" t="str">
        <f t="shared" si="73"/>
        <v>Moderado</v>
      </c>
      <c r="AH147" s="139">
        <f>IFERROR(IF(U147="Impacto",(Q147-(+Q147*X147)),IF(U147="Probabilidad",Q147,"")),"")</f>
        <v>0.6</v>
      </c>
      <c r="AI147" s="213" t="str">
        <f t="shared" si="63"/>
        <v>Moderado</v>
      </c>
      <c r="AJ147" s="213" t="str">
        <f>$AI$148</f>
        <v>Moderado</v>
      </c>
      <c r="AK147" s="249" t="s">
        <v>119</v>
      </c>
    </row>
    <row r="148" spans="1:80" ht="213" customHeight="1" x14ac:dyDescent="0.2">
      <c r="A148" s="682"/>
      <c r="B148" s="660"/>
      <c r="C148" s="807"/>
      <c r="D148" s="649"/>
      <c r="E148" s="659"/>
      <c r="F148" s="576"/>
      <c r="G148" s="654"/>
      <c r="H148" s="654"/>
      <c r="I148" s="654"/>
      <c r="J148" s="655"/>
      <c r="K148" s="595"/>
      <c r="L148" s="606"/>
      <c r="M148" s="566"/>
      <c r="N148" s="568"/>
      <c r="O148" s="568"/>
      <c r="P148" s="566"/>
      <c r="Q148" s="568"/>
      <c r="R148" s="566"/>
      <c r="S148" s="219">
        <v>2</v>
      </c>
      <c r="T148" s="247" t="s">
        <v>497</v>
      </c>
      <c r="U148" s="315" t="s">
        <v>2</v>
      </c>
      <c r="V148" s="228" t="s">
        <v>12</v>
      </c>
      <c r="W148" s="228" t="s">
        <v>7</v>
      </c>
      <c r="X148" s="139" t="str">
        <f t="shared" si="60"/>
        <v>40%</v>
      </c>
      <c r="Y148" s="248" t="s">
        <v>18</v>
      </c>
      <c r="Z148" s="248" t="s">
        <v>20</v>
      </c>
      <c r="AA148" s="248" t="s">
        <v>105</v>
      </c>
      <c r="AB148" s="264"/>
      <c r="AC148" s="364" t="s">
        <v>543</v>
      </c>
      <c r="AD148" s="390">
        <v>0.6</v>
      </c>
      <c r="AE148" s="143" t="str">
        <f t="shared" si="71"/>
        <v>Media</v>
      </c>
      <c r="AF148" s="139">
        <f t="shared" si="72"/>
        <v>0.6</v>
      </c>
      <c r="AG148" s="143" t="str">
        <f t="shared" si="73"/>
        <v>Moderado</v>
      </c>
      <c r="AH148" s="139">
        <f t="shared" ref="AH148:AH158" si="74">IFERROR(IF(AND(U147="Impacto",U148="Impacto"),(AH147-(+AH147*X148)),IF(U148="Impacto",($N$77-(+$N$77*X148)),IF(U148="Probabilidad",AH147,""))),"")</f>
        <v>0.6</v>
      </c>
      <c r="AI148" s="213" t="str">
        <f t="shared" si="63"/>
        <v>Moderado</v>
      </c>
      <c r="AJ148" s="213" t="str">
        <f>$AI$148</f>
        <v>Moderado</v>
      </c>
      <c r="AK148" s="249" t="s">
        <v>119</v>
      </c>
    </row>
    <row r="149" spans="1:80" ht="183.75" customHeight="1" x14ac:dyDescent="0.2">
      <c r="A149" s="682"/>
      <c r="B149" s="660"/>
      <c r="C149" s="807"/>
      <c r="D149" s="649"/>
      <c r="E149" s="658">
        <v>74</v>
      </c>
      <c r="F149" s="592" t="s">
        <v>788</v>
      </c>
      <c r="G149" s="653" t="s">
        <v>789</v>
      </c>
      <c r="H149" s="653" t="s">
        <v>790</v>
      </c>
      <c r="I149" s="744" t="s">
        <v>393</v>
      </c>
      <c r="J149" s="592" t="s">
        <v>220</v>
      </c>
      <c r="K149" s="594" t="s">
        <v>239</v>
      </c>
      <c r="L149" s="605">
        <v>145</v>
      </c>
      <c r="M149" s="562" t="str">
        <f>IF(L149&lt;=0,"",IF(L149&lt;=2,"Muy Baja",IF(L149&lt;=24,"Baja",IF(L149&lt;=500,"Media",IF(L149&lt;=5000,"Alta","Muy Alta")))))</f>
        <v>Media</v>
      </c>
      <c r="N149" s="567">
        <f>IF(M149="","",IF(M149="Muy Baja",0.2,IF(M149="Baja",0.4,IF(M149="Media",0.6,IF(M149="Alta",0.8,IF(M149="Muy Alta",1,))))))</f>
        <v>0.6</v>
      </c>
      <c r="O149" s="581" t="s">
        <v>131</v>
      </c>
      <c r="P149" s="565" t="s">
        <v>68</v>
      </c>
      <c r="Q149" s="567">
        <f>IF(P149="","",IF(P149="Leve",0.2,IF(P149="Menor",0.4,IF(P149="Moderado",0.6,IF(P149="Mayor",0.8,IF(P149="Catastrófico",1,))))))</f>
        <v>0.6</v>
      </c>
      <c r="R149" s="565" t="str">
        <f>IF(OR(AND(M149="Muy Baja",P149="Leve"),AND(M149="Muy Baja",P149="Menor"),AND(M149="Baja",P149="Leve")),"Bajo",IF(OR(AND(M149="Muy baja",P149="Moderado"),AND(M149="Baja",P149="Menor"),AND(M149="Baja",P149="Moderado"),AND(M149="Media",P149="Leve"),AND(M149="Media",P149="Menor"),AND(M149="Media",P149="Moderado"),AND(M149="Alta",P149="Leve"),AND(M149="Alta",P149="Menor")),"Moderado",IF(OR(AND(M149="Muy Baja",P149="Mayor"),AND(M149="Baja",P149="Mayor"),AND(M149="Media",P149="Mayor"),AND(M149="Alta",P149="Moderado"),AND(M149="Alta",P149="Mayor"),AND(M149="Muy Alta",P149="Leve"),AND(M149="Muy Alta",P149="Menor"),AND(M149="Muy Alta",P149="Moderado"),AND(M149="Muy Alta",P149="Mayor")),"Alto",IF(OR(AND(M149="Muy Baja",P149="Catastrófico"),AND(M149="Baja",P149="Catastrófico"),AND(M149="Media",P149="Catastrófico"),AND(M149="Alta",P149="Catastrófico"),AND(M149="Muy Alta",P149="Catastrófico")),"Extremo",""))))</f>
        <v>Moderado</v>
      </c>
      <c r="S149" s="219">
        <v>1</v>
      </c>
      <c r="T149" s="174" t="s">
        <v>791</v>
      </c>
      <c r="U149" s="315" t="s">
        <v>2</v>
      </c>
      <c r="V149" s="228" t="s">
        <v>12</v>
      </c>
      <c r="W149" s="228" t="s">
        <v>7</v>
      </c>
      <c r="X149" s="139" t="str">
        <f t="shared" si="60"/>
        <v>40%</v>
      </c>
      <c r="Y149" s="248" t="s">
        <v>18</v>
      </c>
      <c r="Z149" s="248" t="s">
        <v>20</v>
      </c>
      <c r="AA149" s="248" t="s">
        <v>105</v>
      </c>
      <c r="AB149" s="264"/>
      <c r="AC149" s="373" t="s">
        <v>795</v>
      </c>
      <c r="AD149" s="390">
        <v>0.6</v>
      </c>
      <c r="AE149" s="143" t="str">
        <f t="shared" si="71"/>
        <v>Media</v>
      </c>
      <c r="AF149" s="139">
        <f t="shared" si="72"/>
        <v>0.6</v>
      </c>
      <c r="AG149" s="143" t="str">
        <f t="shared" si="73"/>
        <v>Moderado</v>
      </c>
      <c r="AH149" s="139">
        <f t="shared" si="74"/>
        <v>0.6</v>
      </c>
      <c r="AI149" s="213" t="str">
        <f t="shared" si="63"/>
        <v>Moderado</v>
      </c>
      <c r="AJ149" s="342" t="str">
        <f>$R$149</f>
        <v>Moderado</v>
      </c>
      <c r="AK149" s="249" t="s">
        <v>119</v>
      </c>
    </row>
    <row r="150" spans="1:80" ht="178.5" customHeight="1" x14ac:dyDescent="0.2">
      <c r="A150" s="682"/>
      <c r="B150" s="660"/>
      <c r="C150" s="807"/>
      <c r="D150" s="649"/>
      <c r="E150" s="692"/>
      <c r="F150" s="647"/>
      <c r="G150" s="661"/>
      <c r="H150" s="661"/>
      <c r="I150" s="745"/>
      <c r="J150" s="647"/>
      <c r="K150" s="609"/>
      <c r="L150" s="637"/>
      <c r="M150" s="563"/>
      <c r="N150" s="571"/>
      <c r="O150" s="582"/>
      <c r="P150" s="572"/>
      <c r="Q150" s="571"/>
      <c r="R150" s="572"/>
      <c r="S150" s="319">
        <v>2</v>
      </c>
      <c r="T150" s="174" t="s">
        <v>792</v>
      </c>
      <c r="U150" s="315" t="s">
        <v>2</v>
      </c>
      <c r="V150" s="228" t="s">
        <v>12</v>
      </c>
      <c r="W150" s="228" t="s">
        <v>7</v>
      </c>
      <c r="X150" s="139" t="str">
        <f t="shared" si="60"/>
        <v>40%</v>
      </c>
      <c r="Y150" s="248" t="s">
        <v>18</v>
      </c>
      <c r="Z150" s="248" t="s">
        <v>20</v>
      </c>
      <c r="AA150" s="248" t="s">
        <v>105</v>
      </c>
      <c r="AB150" s="335"/>
      <c r="AC150" s="373" t="s">
        <v>796</v>
      </c>
      <c r="AD150" s="390">
        <v>0.6</v>
      </c>
      <c r="AE150" s="138" t="str">
        <f t="shared" si="71"/>
        <v>Media</v>
      </c>
      <c r="AF150" s="325">
        <f t="shared" si="72"/>
        <v>0.6</v>
      </c>
      <c r="AG150" s="343" t="str">
        <f t="shared" si="73"/>
        <v>Moderado</v>
      </c>
      <c r="AH150" s="139">
        <f t="shared" si="74"/>
        <v>0.6</v>
      </c>
      <c r="AI150" s="352" t="str">
        <f t="shared" si="63"/>
        <v>Moderado</v>
      </c>
      <c r="AJ150" s="342" t="str">
        <f t="shared" ref="AJ150:AJ165" si="75">AI150</f>
        <v>Moderado</v>
      </c>
      <c r="AK150" s="249" t="s">
        <v>119</v>
      </c>
    </row>
    <row r="151" spans="1:80" s="134" customFormat="1" ht="229.5" customHeight="1" x14ac:dyDescent="0.2">
      <c r="A151" s="682"/>
      <c r="B151" s="660"/>
      <c r="C151" s="807"/>
      <c r="D151" s="649"/>
      <c r="E151" s="692"/>
      <c r="F151" s="647"/>
      <c r="G151" s="661"/>
      <c r="H151" s="661"/>
      <c r="I151" s="745"/>
      <c r="J151" s="647"/>
      <c r="K151" s="609"/>
      <c r="L151" s="637"/>
      <c r="M151" s="563"/>
      <c r="N151" s="571"/>
      <c r="O151" s="582"/>
      <c r="P151" s="572"/>
      <c r="Q151" s="571"/>
      <c r="R151" s="572"/>
      <c r="S151" s="319">
        <v>3</v>
      </c>
      <c r="T151" s="174" t="s">
        <v>793</v>
      </c>
      <c r="U151" s="315"/>
      <c r="V151" s="228" t="s">
        <v>12</v>
      </c>
      <c r="W151" s="228" t="s">
        <v>7</v>
      </c>
      <c r="X151" s="139">
        <v>0.4</v>
      </c>
      <c r="Y151" s="248" t="s">
        <v>18</v>
      </c>
      <c r="Z151" s="248" t="s">
        <v>20</v>
      </c>
      <c r="AA151" s="248" t="s">
        <v>105</v>
      </c>
      <c r="AB151" s="245"/>
      <c r="AC151" s="373" t="s">
        <v>797</v>
      </c>
      <c r="AD151" s="390">
        <v>0.6</v>
      </c>
      <c r="AE151" s="138" t="str">
        <f t="shared" si="71"/>
        <v>Media</v>
      </c>
      <c r="AF151" s="325">
        <f t="shared" si="72"/>
        <v>0.6</v>
      </c>
      <c r="AG151" s="343" t="str">
        <f t="shared" si="73"/>
        <v>Moderado</v>
      </c>
      <c r="AH151" s="139">
        <v>0.6</v>
      </c>
      <c r="AI151" s="352" t="str">
        <f t="shared" si="63"/>
        <v>Moderado</v>
      </c>
      <c r="AJ151" s="342" t="str">
        <f t="shared" si="75"/>
        <v>Moderado</v>
      </c>
      <c r="AK151" s="249" t="s">
        <v>119</v>
      </c>
      <c r="AL151" s="234"/>
      <c r="AM151" s="234"/>
      <c r="AN151" s="234"/>
      <c r="AO151" s="234"/>
      <c r="AP151" s="234"/>
      <c r="AQ151" s="234"/>
      <c r="AR151" s="234"/>
      <c r="AS151" s="234"/>
      <c r="AT151" s="234"/>
      <c r="AU151" s="234"/>
      <c r="AV151" s="234"/>
      <c r="AW151" s="234"/>
      <c r="AX151" s="234"/>
      <c r="AY151" s="234"/>
      <c r="AZ151" s="234"/>
      <c r="BA151" s="234"/>
      <c r="BB151" s="234"/>
      <c r="BC151" s="234"/>
      <c r="BD151" s="234"/>
      <c r="BE151" s="234"/>
      <c r="BF151" s="234"/>
      <c r="BG151" s="234"/>
      <c r="BH151" s="234"/>
      <c r="BI151" s="234"/>
      <c r="BJ151" s="234"/>
      <c r="BK151" s="234"/>
      <c r="BL151" s="234"/>
      <c r="BM151" s="234"/>
      <c r="BN151" s="234"/>
      <c r="BO151" s="234"/>
      <c r="BP151" s="234"/>
      <c r="BQ151" s="234"/>
      <c r="BR151" s="234"/>
      <c r="BS151" s="234"/>
      <c r="BT151" s="234"/>
      <c r="BU151" s="234"/>
      <c r="BV151" s="234"/>
      <c r="BW151" s="234"/>
      <c r="BX151" s="234"/>
      <c r="BY151" s="234"/>
      <c r="BZ151" s="234"/>
      <c r="CA151" s="234"/>
      <c r="CB151" s="234"/>
    </row>
    <row r="152" spans="1:80" s="134" customFormat="1" ht="180.75" customHeight="1" x14ac:dyDescent="0.2">
      <c r="A152" s="682"/>
      <c r="B152" s="660"/>
      <c r="C152" s="807"/>
      <c r="D152" s="649"/>
      <c r="E152" s="659"/>
      <c r="F152" s="655"/>
      <c r="G152" s="654"/>
      <c r="H152" s="654"/>
      <c r="I152" s="746"/>
      <c r="J152" s="593"/>
      <c r="K152" s="595"/>
      <c r="L152" s="606"/>
      <c r="M152" s="564"/>
      <c r="N152" s="568"/>
      <c r="O152" s="583"/>
      <c r="P152" s="566"/>
      <c r="Q152" s="568"/>
      <c r="R152" s="566"/>
      <c r="S152" s="219">
        <v>4</v>
      </c>
      <c r="T152" s="174" t="s">
        <v>794</v>
      </c>
      <c r="U152" s="315" t="s">
        <v>2</v>
      </c>
      <c r="V152" s="228" t="s">
        <v>12</v>
      </c>
      <c r="W152" s="228" t="s">
        <v>7</v>
      </c>
      <c r="X152" s="139" t="str">
        <f t="shared" si="60"/>
        <v>40%</v>
      </c>
      <c r="Y152" s="248" t="s">
        <v>18</v>
      </c>
      <c r="Z152" s="248" t="s">
        <v>20</v>
      </c>
      <c r="AA152" s="248" t="s">
        <v>105</v>
      </c>
      <c r="AB152" s="265"/>
      <c r="AC152" s="373" t="s">
        <v>798</v>
      </c>
      <c r="AD152" s="390">
        <v>0.6</v>
      </c>
      <c r="AE152" s="138" t="str">
        <f t="shared" si="71"/>
        <v>Media</v>
      </c>
      <c r="AF152" s="325">
        <f t="shared" si="72"/>
        <v>0.6</v>
      </c>
      <c r="AG152" s="343" t="str">
        <f t="shared" ref="AG152:AG158" si="76">IFERROR(IF(AH152="","",IF(AH152&lt;=0.2,"Leve",IF(AH152&lt;=0.4,"Menor",IF(AH152&lt;=0.6,"Moderado",IF(AH152&lt;=0.8,"Mayor","Catastrófico"))))),"")</f>
        <v>Moderado</v>
      </c>
      <c r="AH152" s="139">
        <f>IFERROR(IF(AND(U150="Impacto",U152="Impacto"),(AH150-(+AH150*X152)),IF(U152="Impacto",($N$77-(+$N$77*X152)),IF(U152="Probabilidad",AH150,""))),"")</f>
        <v>0.6</v>
      </c>
      <c r="AI152" s="352" t="str">
        <f t="shared" si="63"/>
        <v>Moderado</v>
      </c>
      <c r="AJ152" s="342" t="str">
        <f t="shared" si="75"/>
        <v>Moderado</v>
      </c>
      <c r="AK152" s="249" t="s">
        <v>119</v>
      </c>
      <c r="AL152" s="234"/>
      <c r="AM152" s="234"/>
      <c r="AN152" s="234"/>
      <c r="AO152" s="234"/>
      <c r="AP152" s="234"/>
      <c r="AQ152" s="234"/>
      <c r="AR152" s="234"/>
      <c r="AS152" s="234"/>
      <c r="AT152" s="234"/>
      <c r="AU152" s="234"/>
      <c r="AV152" s="234"/>
      <c r="AW152" s="234"/>
      <c r="AX152" s="234"/>
      <c r="AY152" s="234"/>
      <c r="AZ152" s="234"/>
      <c r="BA152" s="234"/>
      <c r="BB152" s="234"/>
      <c r="BC152" s="234"/>
      <c r="BD152" s="234"/>
      <c r="BE152" s="234"/>
      <c r="BF152" s="234"/>
      <c r="BG152" s="234"/>
      <c r="BH152" s="234"/>
      <c r="BI152" s="234"/>
      <c r="BJ152" s="234"/>
      <c r="BK152" s="234"/>
      <c r="BL152" s="234"/>
      <c r="BM152" s="234"/>
      <c r="BN152" s="234"/>
      <c r="BO152" s="234"/>
      <c r="BP152" s="234"/>
      <c r="BQ152" s="234"/>
      <c r="BR152" s="234"/>
      <c r="BS152" s="234"/>
      <c r="BT152" s="234"/>
      <c r="BU152" s="234"/>
      <c r="BV152" s="234"/>
      <c r="BW152" s="234"/>
      <c r="BX152" s="234"/>
      <c r="BY152" s="234"/>
      <c r="BZ152" s="234"/>
      <c r="CA152" s="234"/>
      <c r="CB152" s="234"/>
    </row>
    <row r="153" spans="1:80" s="134" customFormat="1" ht="180.75" customHeight="1" x14ac:dyDescent="0.2">
      <c r="A153" s="682"/>
      <c r="B153" s="660"/>
      <c r="C153" s="807"/>
      <c r="D153" s="649"/>
      <c r="E153" s="658">
        <v>75</v>
      </c>
      <c r="F153" s="575" t="s">
        <v>799</v>
      </c>
      <c r="G153" s="653" t="s">
        <v>800</v>
      </c>
      <c r="H153" s="653" t="s">
        <v>801</v>
      </c>
      <c r="I153" s="744" t="s">
        <v>393</v>
      </c>
      <c r="J153" s="592" t="s">
        <v>219</v>
      </c>
      <c r="K153" s="594" t="s">
        <v>235</v>
      </c>
      <c r="L153" s="605">
        <v>365</v>
      </c>
      <c r="M153" s="562" t="str">
        <f>IF(L153&lt;=0,"",IF(L153&lt;=2,"Muy Baja",IF(L153&lt;=24,"Baja",IF(L153&lt;=500,"Media",IF(L153&lt;=5000,"Alta","Muy Alta")))))</f>
        <v>Media</v>
      </c>
      <c r="N153" s="567">
        <f t="shared" ref="N153" si="77">IF(M153="","",IF(M153="Muy Baja",0.2,IF(M153="Baja",0.4,IF(M153="Media",0.6,IF(M153="Alta",0.8,IF(M153="Muy Alta",1,))))))</f>
        <v>0.6</v>
      </c>
      <c r="O153" s="581" t="s">
        <v>131</v>
      </c>
      <c r="P153" s="565" t="s">
        <v>68</v>
      </c>
      <c r="Q153" s="567">
        <f t="shared" ref="Q153" si="78">IF(P153="","",IF(P153="Leve",0.2,IF(P153="Menor",0.4,IF(P153="Moderado",0.6,IF(P153="Mayor",0.8,IF(P153="Catastrófico",1,))))))</f>
        <v>0.6</v>
      </c>
      <c r="R153" s="565" t="str">
        <f t="shared" ref="R153" si="79">IF(OR(AND(M153="Muy Baja",P153="Leve"),AND(M153="Muy Baja",P153="Menor"),AND(M153="Baja",P153="Leve")),"Bajo",IF(OR(AND(M153="Muy baja",P153="Moderado"),AND(M153="Baja",P153="Menor"),AND(M153="Baja",P153="Moderado"),AND(M153="Media",P153="Leve"),AND(M153="Media",P153="Menor"),AND(M153="Media",P153="Moderado"),AND(M153="Alta",P153="Leve"),AND(M153="Alta",P153="Menor")),"Moderado",IF(OR(AND(M153="Muy Baja",P153="Mayor"),AND(M153="Baja",P153="Mayor"),AND(M153="Media",P153="Mayor"),AND(M153="Alta",P153="Moderado"),AND(M153="Alta",P153="Mayor"),AND(M153="Muy Alta",P153="Leve"),AND(M153="Muy Alta",P153="Menor"),AND(M153="Muy Alta",P153="Moderado"),AND(M153="Muy Alta",P153="Mayor")),"Alto",IF(OR(AND(M153="Muy Baja",P153="Catastrófico"),AND(M153="Baja",P153="Catastrófico"),AND(M153="Media",P153="Catastrófico"),AND(M153="Alta",P153="Catastrófico"),AND(M153="Muy Alta",P153="Catastrófico")),"Extremo",""))))</f>
        <v>Moderado</v>
      </c>
      <c r="S153" s="219">
        <v>1</v>
      </c>
      <c r="T153" s="377" t="s">
        <v>859</v>
      </c>
      <c r="U153" s="315" t="s">
        <v>2</v>
      </c>
      <c r="V153" s="228" t="s">
        <v>12</v>
      </c>
      <c r="W153" s="228" t="s">
        <v>7</v>
      </c>
      <c r="X153" s="139" t="str">
        <f t="shared" si="60"/>
        <v>40%</v>
      </c>
      <c r="Y153" s="248" t="s">
        <v>18</v>
      </c>
      <c r="Z153" s="248" t="s">
        <v>20</v>
      </c>
      <c r="AA153" s="248" t="s">
        <v>413</v>
      </c>
      <c r="AB153" s="265"/>
      <c r="AC153" s="332" t="s">
        <v>861</v>
      </c>
      <c r="AD153" s="390">
        <v>0.6</v>
      </c>
      <c r="AE153" s="138" t="str">
        <f t="shared" si="71"/>
        <v>Media</v>
      </c>
      <c r="AF153" s="325">
        <f t="shared" si="72"/>
        <v>0.6</v>
      </c>
      <c r="AG153" s="343" t="str">
        <f t="shared" si="76"/>
        <v>Moderado</v>
      </c>
      <c r="AH153" s="139">
        <v>0.6</v>
      </c>
      <c r="AI153" s="352" t="str">
        <f t="shared" si="63"/>
        <v>Moderado</v>
      </c>
      <c r="AJ153" s="342" t="str">
        <f t="shared" si="75"/>
        <v>Moderado</v>
      </c>
      <c r="AK153" s="249" t="s">
        <v>119</v>
      </c>
      <c r="AL153" s="234"/>
      <c r="AM153" s="234"/>
      <c r="AN153" s="234"/>
      <c r="AO153" s="234"/>
      <c r="AP153" s="234"/>
      <c r="AQ153" s="234"/>
      <c r="AR153" s="234"/>
      <c r="AS153" s="234"/>
      <c r="AT153" s="234"/>
      <c r="AU153" s="234"/>
      <c r="AV153" s="234"/>
      <c r="AW153" s="234"/>
      <c r="AX153" s="234"/>
      <c r="AY153" s="234"/>
      <c r="AZ153" s="234"/>
      <c r="BA153" s="234"/>
      <c r="BB153" s="234"/>
      <c r="BC153" s="234"/>
      <c r="BD153" s="234"/>
      <c r="BE153" s="234"/>
      <c r="BF153" s="234"/>
      <c r="BG153" s="234"/>
      <c r="BH153" s="234"/>
      <c r="BI153" s="234"/>
      <c r="BJ153" s="234"/>
      <c r="BK153" s="234"/>
      <c r="BL153" s="234"/>
      <c r="BM153" s="234"/>
      <c r="BN153" s="234"/>
      <c r="BO153" s="234"/>
      <c r="BP153" s="234"/>
      <c r="BQ153" s="234"/>
      <c r="BR153" s="234"/>
      <c r="BS153" s="234"/>
      <c r="BT153" s="234"/>
      <c r="BU153" s="234"/>
      <c r="BV153" s="234"/>
      <c r="BW153" s="234"/>
      <c r="BX153" s="234"/>
      <c r="BY153" s="234"/>
      <c r="BZ153" s="234"/>
      <c r="CA153" s="234"/>
      <c r="CB153" s="234"/>
    </row>
    <row r="154" spans="1:80" s="134" customFormat="1" ht="180.75" customHeight="1" x14ac:dyDescent="0.2">
      <c r="A154" s="682"/>
      <c r="B154" s="660"/>
      <c r="C154" s="807"/>
      <c r="D154" s="649"/>
      <c r="E154" s="659"/>
      <c r="F154" s="576"/>
      <c r="G154" s="654"/>
      <c r="H154" s="654"/>
      <c r="I154" s="746"/>
      <c r="J154" s="655"/>
      <c r="K154" s="595"/>
      <c r="L154" s="606"/>
      <c r="M154" s="564"/>
      <c r="N154" s="568"/>
      <c r="O154" s="583"/>
      <c r="P154" s="566"/>
      <c r="Q154" s="568"/>
      <c r="R154" s="566"/>
      <c r="S154" s="219">
        <v>2</v>
      </c>
      <c r="T154" s="267" t="s">
        <v>860</v>
      </c>
      <c r="U154" s="315" t="s">
        <v>2</v>
      </c>
      <c r="V154" s="228" t="s">
        <v>12</v>
      </c>
      <c r="W154" s="228" t="s">
        <v>7</v>
      </c>
      <c r="X154" s="139">
        <v>0.4</v>
      </c>
      <c r="Y154" s="248" t="s">
        <v>18</v>
      </c>
      <c r="Z154" s="248" t="s">
        <v>20</v>
      </c>
      <c r="AA154" s="248" t="s">
        <v>413</v>
      </c>
      <c r="AB154" s="265"/>
      <c r="AC154" s="332" t="s">
        <v>862</v>
      </c>
      <c r="AD154" s="390">
        <v>0.6</v>
      </c>
      <c r="AE154" s="138" t="str">
        <f t="shared" si="71"/>
        <v>Media</v>
      </c>
      <c r="AF154" s="325">
        <f t="shared" si="72"/>
        <v>0.6</v>
      </c>
      <c r="AG154" s="343" t="str">
        <f t="shared" si="76"/>
        <v>Moderado</v>
      </c>
      <c r="AH154" s="139">
        <v>0.6</v>
      </c>
      <c r="AI154" s="352" t="str">
        <f t="shared" si="63"/>
        <v>Moderado</v>
      </c>
      <c r="AJ154" s="342" t="str">
        <f t="shared" si="75"/>
        <v>Moderado</v>
      </c>
      <c r="AK154" s="249" t="s">
        <v>119</v>
      </c>
      <c r="AL154" s="234"/>
      <c r="AM154" s="234"/>
      <c r="AN154" s="234"/>
      <c r="AO154" s="234"/>
      <c r="AP154" s="234"/>
      <c r="AQ154" s="234"/>
      <c r="AR154" s="234"/>
      <c r="AS154" s="234"/>
      <c r="AT154" s="234"/>
      <c r="AU154" s="234"/>
      <c r="AV154" s="234"/>
      <c r="AW154" s="234"/>
      <c r="AX154" s="234"/>
      <c r="AY154" s="234"/>
      <c r="AZ154" s="234"/>
      <c r="BA154" s="234"/>
      <c r="BB154" s="234"/>
      <c r="BC154" s="234"/>
      <c r="BD154" s="234"/>
      <c r="BE154" s="234"/>
      <c r="BF154" s="234"/>
      <c r="BG154" s="234"/>
      <c r="BH154" s="234"/>
      <c r="BI154" s="234"/>
      <c r="BJ154" s="234"/>
      <c r="BK154" s="234"/>
      <c r="BL154" s="234"/>
      <c r="BM154" s="234"/>
      <c r="BN154" s="234"/>
      <c r="BO154" s="234"/>
      <c r="BP154" s="234"/>
      <c r="BQ154" s="234"/>
      <c r="BR154" s="234"/>
      <c r="BS154" s="234"/>
      <c r="BT154" s="234"/>
      <c r="BU154" s="234"/>
      <c r="BV154" s="234"/>
      <c r="BW154" s="234"/>
      <c r="BX154" s="234"/>
      <c r="BY154" s="234"/>
      <c r="BZ154" s="234"/>
      <c r="CA154" s="234"/>
      <c r="CB154" s="234"/>
    </row>
    <row r="155" spans="1:80" s="134" customFormat="1" ht="201" customHeight="1" x14ac:dyDescent="0.2">
      <c r="A155" s="682"/>
      <c r="B155" s="660"/>
      <c r="C155" s="807"/>
      <c r="D155" s="649"/>
      <c r="E155" s="658">
        <v>76</v>
      </c>
      <c r="F155" s="575" t="s">
        <v>953</v>
      </c>
      <c r="G155" s="653" t="s">
        <v>492</v>
      </c>
      <c r="H155" s="653" t="s">
        <v>494</v>
      </c>
      <c r="I155" s="653" t="s">
        <v>214</v>
      </c>
      <c r="J155" s="592" t="s">
        <v>221</v>
      </c>
      <c r="K155" s="594" t="s">
        <v>199</v>
      </c>
      <c r="L155" s="605">
        <v>365</v>
      </c>
      <c r="M155" s="562" t="str">
        <f>IF(L155&lt;=0,"",IF(L155&lt;=2,"Muy Baja",IF(L155&lt;=24,"Baja",IF(L155&lt;=500,"Media",IF(L155&lt;=5000,"Alta","Muy Alta")))))</f>
        <v>Media</v>
      </c>
      <c r="N155" s="567">
        <f>IF(M155="","",IF(M155="Muy Baja",0.2,IF(M155="Baja",0.4,IF(M155="Media",0.6,IF(M155="Alta",0.8,IF(M155="Muy Alta",1,))))))</f>
        <v>0.6</v>
      </c>
      <c r="O155" s="581" t="s">
        <v>132</v>
      </c>
      <c r="P155" s="639" t="str">
        <f>IF(OR(O155:O155='6.Tabla Impacto'!$C$11,O155='6.Tabla Impacto'!$D$11),"Leve",IF(OR(O155='6.Tabla Impacto'!$C$12,O155='6.Tabla Impacto'!$D$12),"Menor",IF(OR(O155='6.Tabla Impacto'!$C$13,O155='6.Tabla Impacto'!$D$13),"Moderado",IF(OR(O155='6.Tabla Impacto'!$C$14,O155:O155='6.Tabla Impacto'!$D$14),"Mayor",IF(OR(O155='6.Tabla Impacto'!$C$15,O155='6.Tabla Impacto'!$D$15),"Catastrófico","")))))</f>
        <v>Moderado</v>
      </c>
      <c r="Q155" s="567">
        <f>IF(P155="","",IF(P155="Leve",0.2,IF(P155="Menor",0.4,IF(P155="Moderado",0.6,IF(P155="Mayor",0.8,IF(P155="Catastrófico",1,))))))</f>
        <v>0.6</v>
      </c>
      <c r="R155" s="565" t="str">
        <f>IF(OR(AND(M155="Muy Baja",P155="Leve"),AND(M155="Muy Baja",P155="Menor"),AND(M155="Baja",P155="Leve")),"Bajo",IF(OR(AND(M155="Muy baja",P155="Moderado"),AND(M155="Baja",P155="Menor"),AND(M155="Baja",P155="Moderado"),AND(M155="Media",P155="Leve"),AND(M155="Media",P155="Menor"),AND(M155="Media",P155="Moderado"),AND(M155="Alta",P155="Leve"),AND(M155="Alta",P155="Menor")),"Moderado",IF(OR(AND(M155="Muy Baja",P155="Mayor"),AND(M155="Baja",P155="Mayor"),AND(M155="Media",P155="Mayor"),AND(M155="Alta",P155="Moderado"),AND(M155="Alta",P155="Mayor"),AND(M155="Muy Alta",P155="Leve"),AND(M155="Muy Alta",P155="Menor"),AND(M155="Muy Alta",P155="Moderado"),AND(M155="Muy Alta",P155="Mayor")),"Alto",IF(OR(AND(M155="Muy Baja",P155="Catastrófico"),AND(M155="Baja",P155="Catastrófico"),AND(M155="Media",P155="Catastrófico"),AND(M155="Alta",P155="Catastrófico"),AND(M155="Muy Alta",P155="Catastrófico")),"Extremo",""))))</f>
        <v>Moderado</v>
      </c>
      <c r="S155" s="219">
        <v>1</v>
      </c>
      <c r="T155" s="247" t="s">
        <v>643</v>
      </c>
      <c r="U155" s="315" t="s">
        <v>2</v>
      </c>
      <c r="V155" s="228" t="s">
        <v>12</v>
      </c>
      <c r="W155" s="228" t="s">
        <v>7</v>
      </c>
      <c r="X155" s="139" t="str">
        <f t="shared" si="60"/>
        <v>40%</v>
      </c>
      <c r="Y155" s="248" t="s">
        <v>18</v>
      </c>
      <c r="Z155" s="248" t="s">
        <v>20</v>
      </c>
      <c r="AA155" s="248" t="s">
        <v>105</v>
      </c>
      <c r="AB155" s="245"/>
      <c r="AC155" s="210" t="s">
        <v>644</v>
      </c>
      <c r="AD155" s="390">
        <v>0.6</v>
      </c>
      <c r="AE155" s="138" t="str">
        <f t="shared" si="71"/>
        <v>Media</v>
      </c>
      <c r="AF155" s="325">
        <f t="shared" si="72"/>
        <v>0.6</v>
      </c>
      <c r="AG155" s="398" t="str">
        <f t="shared" si="76"/>
        <v>Moderado</v>
      </c>
      <c r="AH155" s="139">
        <f>IFERROR(IF(AND(U152="Impacto",U155="Impacto"),(AH152-(+AH152*X155)),IF(U155="Impacto",($N$77-(+$N$77*X155)),IF(U155="Probabilidad",AH152,""))),"")</f>
        <v>0.6</v>
      </c>
      <c r="AI155" s="352" t="str">
        <f t="shared" si="63"/>
        <v>Moderado</v>
      </c>
      <c r="AJ155" s="342" t="str">
        <f t="shared" si="75"/>
        <v>Moderado</v>
      </c>
      <c r="AK155" s="249" t="s">
        <v>119</v>
      </c>
      <c r="AL155" s="234"/>
      <c r="AM155" s="234"/>
      <c r="AN155" s="234"/>
      <c r="AO155" s="234"/>
      <c r="AP155" s="234"/>
      <c r="AQ155" s="234"/>
      <c r="AR155" s="234"/>
      <c r="AS155" s="234"/>
      <c r="AT155" s="234"/>
      <c r="AU155" s="234"/>
      <c r="AV155" s="234"/>
      <c r="AW155" s="234"/>
      <c r="AX155" s="234"/>
      <c r="AY155" s="234"/>
      <c r="AZ155" s="234"/>
      <c r="BA155" s="234"/>
      <c r="BB155" s="234"/>
      <c r="BC155" s="234"/>
      <c r="BD155" s="234"/>
      <c r="BE155" s="234"/>
      <c r="BF155" s="234"/>
      <c r="BG155" s="234"/>
      <c r="BH155" s="234"/>
      <c r="BI155" s="234"/>
      <c r="BJ155" s="234"/>
      <c r="BK155" s="234"/>
      <c r="BL155" s="234"/>
      <c r="BM155" s="234"/>
      <c r="BN155" s="234"/>
      <c r="BO155" s="234"/>
      <c r="BP155" s="234"/>
      <c r="BQ155" s="234"/>
      <c r="BR155" s="234"/>
      <c r="BS155" s="234"/>
      <c r="BT155" s="234"/>
      <c r="BU155" s="234"/>
      <c r="BV155" s="234"/>
      <c r="BW155" s="234"/>
      <c r="BX155" s="234"/>
      <c r="BY155" s="234"/>
      <c r="BZ155" s="234"/>
      <c r="CA155" s="234"/>
      <c r="CB155" s="234"/>
    </row>
    <row r="156" spans="1:80" s="134" customFormat="1" ht="102" customHeight="1" x14ac:dyDescent="0.2">
      <c r="A156" s="682"/>
      <c r="B156" s="660"/>
      <c r="C156" s="807"/>
      <c r="D156" s="649"/>
      <c r="E156" s="659"/>
      <c r="F156" s="576"/>
      <c r="G156" s="654"/>
      <c r="H156" s="654"/>
      <c r="I156" s="654"/>
      <c r="J156" s="655"/>
      <c r="K156" s="595"/>
      <c r="L156" s="606"/>
      <c r="M156" s="564"/>
      <c r="N156" s="568"/>
      <c r="O156" s="583"/>
      <c r="P156" s="640"/>
      <c r="Q156" s="568"/>
      <c r="R156" s="572"/>
      <c r="S156" s="219">
        <v>2</v>
      </c>
      <c r="T156" s="247" t="s">
        <v>645</v>
      </c>
      <c r="U156" s="315" t="s">
        <v>2</v>
      </c>
      <c r="V156" s="228" t="s">
        <v>12</v>
      </c>
      <c r="W156" s="228" t="s">
        <v>7</v>
      </c>
      <c r="X156" s="139" t="str">
        <f t="shared" si="60"/>
        <v>40%</v>
      </c>
      <c r="Y156" s="248" t="s">
        <v>18</v>
      </c>
      <c r="Z156" s="248" t="s">
        <v>20</v>
      </c>
      <c r="AA156" s="248" t="s">
        <v>105</v>
      </c>
      <c r="AB156" s="245"/>
      <c r="AC156" s="210" t="s">
        <v>544</v>
      </c>
      <c r="AD156" s="390">
        <v>0.6</v>
      </c>
      <c r="AE156" s="138" t="str">
        <f t="shared" si="71"/>
        <v>Media</v>
      </c>
      <c r="AF156" s="325">
        <f t="shared" si="72"/>
        <v>0.6</v>
      </c>
      <c r="AG156" s="398" t="str">
        <f t="shared" si="76"/>
        <v>Moderado</v>
      </c>
      <c r="AH156" s="139">
        <f>IFERROR(IF(AND(U153="Impacto",U156="Impacto"),(AH153-(+AH153*X156)),IF(U156="Impacto",($N$77-(+$N$77*X156)),IF(U156="Probabilidad",AH153,""))),"")</f>
        <v>0.6</v>
      </c>
      <c r="AI156" s="352" t="str">
        <f t="shared" si="63"/>
        <v>Moderado</v>
      </c>
      <c r="AJ156" s="342" t="str">
        <f t="shared" si="75"/>
        <v>Moderado</v>
      </c>
      <c r="AK156" s="249" t="s">
        <v>119</v>
      </c>
      <c r="AL156" s="234"/>
      <c r="AM156" s="234"/>
      <c r="AN156" s="234"/>
      <c r="AO156" s="234"/>
      <c r="AP156" s="234"/>
      <c r="AQ156" s="234"/>
      <c r="AR156" s="234"/>
      <c r="AS156" s="234"/>
      <c r="AT156" s="234"/>
      <c r="AU156" s="234"/>
      <c r="AV156" s="234"/>
      <c r="AW156" s="234"/>
      <c r="AX156" s="234"/>
      <c r="AY156" s="234"/>
      <c r="AZ156" s="234"/>
      <c r="BA156" s="234"/>
      <c r="BB156" s="234"/>
      <c r="BC156" s="234"/>
      <c r="BD156" s="234"/>
      <c r="BE156" s="234"/>
      <c r="BF156" s="234"/>
      <c r="BG156" s="234"/>
      <c r="BH156" s="234"/>
      <c r="BI156" s="234"/>
      <c r="BJ156" s="234"/>
      <c r="BK156" s="234"/>
      <c r="BL156" s="234"/>
      <c r="BM156" s="234"/>
      <c r="BN156" s="234"/>
      <c r="BO156" s="234"/>
      <c r="BP156" s="234"/>
      <c r="BQ156" s="234"/>
      <c r="BR156" s="234"/>
      <c r="BS156" s="234"/>
      <c r="BT156" s="234"/>
      <c r="BU156" s="234"/>
      <c r="BV156" s="234"/>
      <c r="BW156" s="234"/>
      <c r="BX156" s="234"/>
      <c r="BY156" s="234"/>
      <c r="BZ156" s="234"/>
      <c r="CA156" s="234"/>
      <c r="CB156" s="234"/>
    </row>
    <row r="157" spans="1:80" s="134" customFormat="1" ht="236.25" customHeight="1" x14ac:dyDescent="0.2">
      <c r="A157" s="682"/>
      <c r="B157" s="660"/>
      <c r="C157" s="807"/>
      <c r="D157" s="649"/>
      <c r="E157" s="658">
        <v>77</v>
      </c>
      <c r="F157" s="575" t="s">
        <v>490</v>
      </c>
      <c r="G157" s="653" t="s">
        <v>493</v>
      </c>
      <c r="H157" s="653" t="s">
        <v>495</v>
      </c>
      <c r="I157" s="594" t="s">
        <v>214</v>
      </c>
      <c r="J157" s="592" t="s">
        <v>221</v>
      </c>
      <c r="K157" s="594" t="s">
        <v>199</v>
      </c>
      <c r="L157" s="605">
        <v>365</v>
      </c>
      <c r="M157" s="562" t="str">
        <f>IF(L157&lt;=0,"",IF(L157&lt;=2,"Muy Baja",IF(L157&lt;=24,"Baja",IF(L157&lt;=500,"Media",IF(L157&lt;=5000,"Alta","Muy Alta")))))</f>
        <v>Media</v>
      </c>
      <c r="N157" s="567">
        <f>IF(M157="","",IF(M157="Muy Baja",0.2,IF(M157="Baja",0.4,IF(M157="Media",0.6,IF(M157="Alta",0.8,IF(M157="Muy Alta",1,))))))</f>
        <v>0.6</v>
      </c>
      <c r="O157" s="581" t="s">
        <v>86</v>
      </c>
      <c r="P157" s="565" t="s">
        <v>68</v>
      </c>
      <c r="Q157" s="567">
        <f>IF(P157="","",IF(P157="Leve",0.2,IF(P157="Menor",0.4,IF(P157="Moderado",0.6,IF(P157="Mayor",0.8,IF(P157="Catastrófico",1,))))))</f>
        <v>0.6</v>
      </c>
      <c r="R157" s="565" t="str">
        <f>IF(OR(AND(M157="Muy Baja",P157="Leve"),AND(M157="Muy Baja",P157="Menor"),AND(M157="Baja",P157="Leve")),"Bajo",IF(OR(AND(M157="Muy baja",P157="Moderado"),AND(M157="Baja",P157="Menor"),AND(M157="Baja",P157="Moderado"),AND(M157="Media",P157="Leve"),AND(M157="Media",P157="Menor"),AND(M157="Media",P157="Moderado"),AND(M157="Alta",P157="Leve"),AND(M157="Alta",P157="Menor")),"Moderado",IF(OR(AND(M157="Muy Baja",P157="Mayor"),AND(M157="Baja",P157="Mayor"),AND(M157="Media",P157="Mayor"),AND(M157="Alta",P157="Moderado"),AND(M157="Alta",P157="Mayor"),AND(M157="Muy Alta",P157="Leve"),AND(M157="Muy Alta",P157="Menor"),AND(M157="Muy Alta",P157="Moderado"),AND(M157="Muy Alta",P157="Mayor")),"Alto",IF(OR(AND(M157="Muy Baja",P157="Catastrófico"),AND(M157="Baja",P157="Catastrófico"),AND(M157="Media",P157="Catastrófico"),AND(M157="Alta",P157="Catastrófico"),AND(M157="Muy Alta",P157="Catastrófico")),"Extremo",""))))</f>
        <v>Moderado</v>
      </c>
      <c r="S157" s="219">
        <v>1</v>
      </c>
      <c r="T157" s="247" t="s">
        <v>491</v>
      </c>
      <c r="U157" s="315" t="s">
        <v>2</v>
      </c>
      <c r="V157" s="228" t="s">
        <v>12</v>
      </c>
      <c r="W157" s="228" t="s">
        <v>7</v>
      </c>
      <c r="X157" s="139" t="str">
        <f t="shared" si="60"/>
        <v>40%</v>
      </c>
      <c r="Y157" s="248" t="s">
        <v>18</v>
      </c>
      <c r="Z157" s="248" t="s">
        <v>20</v>
      </c>
      <c r="AA157" s="248" t="s">
        <v>105</v>
      </c>
      <c r="AB157" s="265"/>
      <c r="AC157" s="210" t="s">
        <v>646</v>
      </c>
      <c r="AD157" s="390">
        <v>0.6</v>
      </c>
      <c r="AE157" s="138" t="str">
        <f t="shared" si="71"/>
        <v>Media</v>
      </c>
      <c r="AF157" s="325">
        <f t="shared" si="72"/>
        <v>0.6</v>
      </c>
      <c r="AG157" s="398" t="str">
        <f t="shared" si="76"/>
        <v>Moderado</v>
      </c>
      <c r="AH157" s="139">
        <f t="shared" si="74"/>
        <v>0.6</v>
      </c>
      <c r="AI157" s="352" t="str">
        <f t="shared" si="63"/>
        <v>Moderado</v>
      </c>
      <c r="AJ157" s="342" t="str">
        <f t="shared" si="75"/>
        <v>Moderado</v>
      </c>
      <c r="AK157" s="249" t="s">
        <v>119</v>
      </c>
      <c r="AL157" s="234"/>
      <c r="AM157" s="234"/>
      <c r="AN157" s="234"/>
      <c r="AO157" s="234"/>
      <c r="AP157" s="234"/>
      <c r="AQ157" s="234"/>
      <c r="AR157" s="234"/>
      <c r="AS157" s="234"/>
      <c r="AT157" s="234"/>
      <c r="AU157" s="234"/>
      <c r="AV157" s="234"/>
      <c r="AW157" s="234"/>
      <c r="AX157" s="234"/>
      <c r="AY157" s="234"/>
      <c r="AZ157" s="234"/>
      <c r="BA157" s="234"/>
      <c r="BB157" s="234"/>
      <c r="BC157" s="234"/>
      <c r="BD157" s="234"/>
      <c r="BE157" s="234"/>
      <c r="BF157" s="234"/>
      <c r="BG157" s="234"/>
      <c r="BH157" s="234"/>
      <c r="BI157" s="234"/>
      <c r="BJ157" s="234"/>
      <c r="BK157" s="234"/>
      <c r="BL157" s="234"/>
      <c r="BM157" s="234"/>
      <c r="BN157" s="234"/>
      <c r="BO157" s="234"/>
      <c r="BP157" s="234"/>
      <c r="BQ157" s="234"/>
      <c r="BR157" s="234"/>
      <c r="BS157" s="234"/>
      <c r="BT157" s="234"/>
      <c r="BU157" s="234"/>
      <c r="BV157" s="234"/>
      <c r="BW157" s="234"/>
      <c r="BX157" s="234"/>
      <c r="BY157" s="234"/>
      <c r="BZ157" s="234"/>
      <c r="CA157" s="234"/>
      <c r="CB157" s="234"/>
    </row>
    <row r="158" spans="1:80" s="134" customFormat="1" ht="200.25" customHeight="1" x14ac:dyDescent="0.2">
      <c r="A158" s="682"/>
      <c r="B158" s="660"/>
      <c r="C158" s="807"/>
      <c r="D158" s="650"/>
      <c r="E158" s="659"/>
      <c r="F158" s="576"/>
      <c r="G158" s="654"/>
      <c r="H158" s="654"/>
      <c r="I158" s="595"/>
      <c r="J158" s="655"/>
      <c r="K158" s="595"/>
      <c r="L158" s="606"/>
      <c r="M158" s="564"/>
      <c r="N158" s="568"/>
      <c r="O158" s="583"/>
      <c r="P158" s="566"/>
      <c r="Q158" s="568"/>
      <c r="R158" s="566"/>
      <c r="S158" s="219">
        <v>2</v>
      </c>
      <c r="T158" s="247" t="s">
        <v>647</v>
      </c>
      <c r="U158" s="315" t="s">
        <v>2</v>
      </c>
      <c r="V158" s="248" t="s">
        <v>12</v>
      </c>
      <c r="W158" s="248" t="s">
        <v>7</v>
      </c>
      <c r="X158" s="139" t="str">
        <f t="shared" si="60"/>
        <v>40%</v>
      </c>
      <c r="Y158" s="248" t="s">
        <v>18</v>
      </c>
      <c r="Z158" s="248" t="s">
        <v>20</v>
      </c>
      <c r="AA158" s="248" t="s">
        <v>105</v>
      </c>
      <c r="AB158" s="245"/>
      <c r="AC158" s="210" t="s">
        <v>648</v>
      </c>
      <c r="AD158" s="390">
        <v>0.6</v>
      </c>
      <c r="AE158" s="138" t="str">
        <f t="shared" si="71"/>
        <v>Media</v>
      </c>
      <c r="AF158" s="325">
        <f t="shared" si="72"/>
        <v>0.6</v>
      </c>
      <c r="AG158" s="343" t="str">
        <f t="shared" si="76"/>
        <v>Moderado</v>
      </c>
      <c r="AH158" s="139">
        <f t="shared" si="74"/>
        <v>0.6</v>
      </c>
      <c r="AI158" s="352" t="str">
        <f t="shared" si="63"/>
        <v>Moderado</v>
      </c>
      <c r="AJ158" s="342" t="str">
        <f t="shared" si="75"/>
        <v>Moderado</v>
      </c>
      <c r="AK158" s="249" t="s">
        <v>119</v>
      </c>
      <c r="AL158" s="234"/>
      <c r="AM158" s="234"/>
      <c r="AN158" s="234"/>
      <c r="AO158" s="234"/>
      <c r="AP158" s="234"/>
      <c r="AQ158" s="234"/>
      <c r="AR158" s="234"/>
      <c r="AS158" s="234"/>
      <c r="AT158" s="234"/>
      <c r="AU158" s="234"/>
      <c r="AV158" s="234"/>
      <c r="AW158" s="234"/>
      <c r="AX158" s="234"/>
      <c r="AY158" s="234"/>
      <c r="AZ158" s="234"/>
      <c r="BA158" s="234"/>
      <c r="BB158" s="234"/>
      <c r="BC158" s="234"/>
      <c r="BD158" s="234"/>
      <c r="BE158" s="234"/>
      <c r="BF158" s="234"/>
      <c r="BG158" s="234"/>
      <c r="BH158" s="234"/>
      <c r="BI158" s="234"/>
      <c r="BJ158" s="234"/>
      <c r="BK158" s="234"/>
      <c r="BL158" s="234"/>
      <c r="BM158" s="234"/>
      <c r="BN158" s="234"/>
      <c r="BO158" s="234"/>
      <c r="BP158" s="234"/>
      <c r="BQ158" s="234"/>
      <c r="BR158" s="234"/>
      <c r="BS158" s="234"/>
      <c r="BT158" s="234"/>
      <c r="BU158" s="234"/>
      <c r="BV158" s="234"/>
      <c r="BW158" s="234"/>
      <c r="BX158" s="234"/>
      <c r="BY158" s="234"/>
      <c r="BZ158" s="234"/>
      <c r="CA158" s="234"/>
      <c r="CB158" s="234"/>
    </row>
    <row r="159" spans="1:80" ht="144" customHeight="1" x14ac:dyDescent="0.2">
      <c r="A159" s="682"/>
      <c r="B159" s="660"/>
      <c r="C159" s="807"/>
      <c r="D159" s="648" t="s">
        <v>326</v>
      </c>
      <c r="E159" s="201">
        <v>78</v>
      </c>
      <c r="F159" s="267" t="s">
        <v>954</v>
      </c>
      <c r="G159" s="263" t="s">
        <v>327</v>
      </c>
      <c r="H159" s="263" t="s">
        <v>328</v>
      </c>
      <c r="I159" s="219" t="s">
        <v>214</v>
      </c>
      <c r="J159" s="332" t="s">
        <v>218</v>
      </c>
      <c r="K159" s="318" t="s">
        <v>199</v>
      </c>
      <c r="L159" s="324">
        <v>216</v>
      </c>
      <c r="M159" s="304" t="str">
        <f>IF(L159&lt;=0,"",IF(L159&lt;=2,"Muy Baja",IF(L159&lt;=24,"Baja",IF(L159&lt;=500,"Media",IF(L159&lt;=5000,"Alta","Muy Alta")))))</f>
        <v>Media</v>
      </c>
      <c r="N159" s="307">
        <f>IF(M159="","",IF(M159="Muy Baja",0.2,IF(M159="Baja",0.4,IF(M159="Media",0.6,IF(M159="Alta",0.8,IF(M159="Muy Alta",1,))))))</f>
        <v>0.6</v>
      </c>
      <c r="O159" s="204" t="s">
        <v>132</v>
      </c>
      <c r="P159" s="326" t="s">
        <v>68</v>
      </c>
      <c r="Q159" s="307">
        <f>IF(P159="","",IF(P159="Leve",0.2,IF(P159="Menor",0.4,IF(P159="Moderado",0.6,IF(P159="Mayor",0.8,IF(P159="Catastrófico",1,))))))</f>
        <v>0.6</v>
      </c>
      <c r="R159" s="306" t="str">
        <f>IF(OR(AND(M159="Muy Baja",P159="Leve"),AND(M159="Muy Baja",P159="Menor"),AND(M159="Baja",P159="Leve")),"Bajo",IF(OR(AND(M159="Muy baja",P159="Moderado"),AND(M159="Baja",P159="Menor"),AND(M159="Baja",P159="Moderado"),AND(M159="Media",P159="Leve"),AND(M159="Media",P159="Menor"),AND(M159="Media",P159="Moderado"),AND(M159="Alta",P159="Leve"),AND(M159="Alta",P159="Menor")),"Moderado",IF(OR(AND(M159="Muy Baja",P159="Mayor"),AND(M159="Baja",P159="Mayor"),AND(M159="Media",P159="Mayor"),AND(M159="Alta",P159="Moderado"),AND(M159="Alta",P159="Mayor"),AND(M159="Muy Alta",P159="Leve"),AND(M159="Muy Alta",P159="Menor"),AND(M159="Muy Alta",P159="Moderado"),AND(M159="Muy Alta",P159="Mayor")),"Alto",IF(OR(AND(M159="Muy Baja",P159="Catastrófico"),AND(M159="Baja",P159="Catastrófico"),AND(M159="Media",P159="Catastrófico"),AND(M159="Alta",P159="Catastrófico"),AND(M159="Muy Alta",P159="Catastrófico")),"Extremo",""))))</f>
        <v>Moderado</v>
      </c>
      <c r="S159" s="333">
        <v>1</v>
      </c>
      <c r="T159" s="267" t="s">
        <v>382</v>
      </c>
      <c r="U159" s="171" t="str">
        <f>IF(OR(V159="Preventivo",V159="Detectivo"),"Probabilidad",IF(V159="Correctivo","Impacto",""))</f>
        <v>Probabilidad</v>
      </c>
      <c r="V159" s="250" t="s">
        <v>12</v>
      </c>
      <c r="W159" s="250" t="s">
        <v>7</v>
      </c>
      <c r="X159" s="218" t="str">
        <f t="shared" si="60"/>
        <v>40%</v>
      </c>
      <c r="Y159" s="338" t="s">
        <v>17</v>
      </c>
      <c r="Z159" s="339" t="s">
        <v>20</v>
      </c>
      <c r="AA159" s="136" t="s">
        <v>105</v>
      </c>
      <c r="AB159" s="210"/>
      <c r="AC159" s="332" t="s">
        <v>692</v>
      </c>
      <c r="AD159" s="390">
        <v>0.6</v>
      </c>
      <c r="AE159" s="138" t="str">
        <f t="shared" si="71"/>
        <v>Media</v>
      </c>
      <c r="AF159" s="325">
        <f t="shared" si="72"/>
        <v>0.6</v>
      </c>
      <c r="AG159" s="343" t="str">
        <f t="shared" si="73"/>
        <v>Moderado</v>
      </c>
      <c r="AH159" s="325">
        <f>IFERROR(IF(U159="Impacto",(Q159-(+Q159*X159)),IF(U159="Probabilidad",Q159,"")),"")</f>
        <v>0.6</v>
      </c>
      <c r="AI159" s="352" t="str">
        <f t="shared" si="63"/>
        <v>Moderado</v>
      </c>
      <c r="AJ159" s="342" t="str">
        <f t="shared" si="75"/>
        <v>Moderado</v>
      </c>
      <c r="AK159" s="249" t="s">
        <v>119</v>
      </c>
    </row>
    <row r="160" spans="1:80" ht="306.75" customHeight="1" x14ac:dyDescent="0.2">
      <c r="A160" s="682"/>
      <c r="B160" s="660"/>
      <c r="C160" s="807"/>
      <c r="D160" s="649"/>
      <c r="E160" s="658">
        <v>79</v>
      </c>
      <c r="F160" s="575" t="s">
        <v>467</v>
      </c>
      <c r="G160" s="653" t="s">
        <v>465</v>
      </c>
      <c r="H160" s="653" t="s">
        <v>329</v>
      </c>
      <c r="I160" s="594" t="s">
        <v>214</v>
      </c>
      <c r="J160" s="592" t="s">
        <v>109</v>
      </c>
      <c r="K160" s="594" t="s">
        <v>199</v>
      </c>
      <c r="L160" s="605">
        <v>39</v>
      </c>
      <c r="M160" s="565" t="str">
        <f>IF(L160&lt;=0,"",IF(L160&lt;=2,"Muy Baja",IF(L160&lt;=24,"Baja",IF(L160&lt;=500,"Media",IF(L160&lt;=5000,"Alta","Muy Alta")))))</f>
        <v>Media</v>
      </c>
      <c r="N160" s="567">
        <f>IF(M160="","",IF(M160="Muy Baja",0.2,IF(M160="Baja",0.4,IF(M160="Media",0.6,IF(M160="Alta",0.8,IF(M160="Muy Alta",1,))))))</f>
        <v>0.6</v>
      </c>
      <c r="O160" s="567" t="s">
        <v>132</v>
      </c>
      <c r="P160" s="565" t="str">
        <f>IF(OR(O160='6.Tabla Impacto'!$C$11,O160='6.Tabla Impacto'!$D$11),"Leve",IF(OR(O160='6.Tabla Impacto'!$C$12,O160='6.Tabla Impacto'!$D$12),"Menor",IF(OR(O160='6.Tabla Impacto'!$C$13,O160='6.Tabla Impacto'!$D$13),"Moderado",IF(OR(O160='6.Tabla Impacto'!$C$14,O160:O160='6.Tabla Impacto'!$D$14),"Mayor",IF(OR(O160='6.Tabla Impacto'!$C$15,O160='6.Tabla Impacto'!$D$15),"Catastrófico","")))))</f>
        <v>Moderado</v>
      </c>
      <c r="Q160" s="567">
        <f>IF(P160="","",IF(P160="Leve",0.2,IF(P160="Menor",0.4,IF(P160="Moderado",0.6,IF(P160="Mayor",0.8,IF(P160="Catastrófico",1,))))))</f>
        <v>0.6</v>
      </c>
      <c r="R160" s="562" t="str">
        <f>IF(OR(AND(M160="Muy Baja",P160="Leve"),AND(M160="Muy Baja",P160="Menor"),AND(M160="Baja",P160="Leve")),"Bajo",IF(OR(AND(M160="Muy baja",P160="Moderado"),AND(M160="Baja",P160="Menor"),AND(M160="Baja",P160="Moderado"),AND(M160="Media",P160="Leve"),AND(M160="Media",P160="Menor"),AND(M160="Media",P160="Moderado"),AND(M160="Alta",P160="Leve"),AND(M160="Alta",P160="Menor")),"Moderado",IF(OR(AND(M160="Muy Baja",P160="Mayor"),AND(M160="Baja",P160="Mayor"),AND(M160="Media",P160="Mayor"),AND(M160="Alta",P160="Moderado"),AND(M160="Alta",P160="Mayor"),AND(M160="Muy Alta",P160="Leve"),AND(M160="Muy Alta",P160="Menor"),AND(M160="Muy Alta",P160="Moderado"),AND(M160="Muy Alta",P160="Mayor")),"Alto",IF(OR(AND(M160="Muy Baja",P160="Catastrófico"),AND(M160="Baja",P160="Catastrófico"),AND(M160="Media",P160="Catastrófico"),AND(M160="Alta",P160="Catastrófico"),AND(M160="Muy Alta",P160="Catastrófico")),"Extremo",""))))</f>
        <v>Moderado</v>
      </c>
      <c r="S160" s="219">
        <v>1</v>
      </c>
      <c r="T160" s="267" t="s">
        <v>496</v>
      </c>
      <c r="U160" s="140" t="str">
        <f>IF(OR(V160="Preventivo",V160="Detectivo"),"Probabilidad",IF(V160="Correctivo","Impacto",""))</f>
        <v>Probabilidad</v>
      </c>
      <c r="V160" s="248" t="s">
        <v>12</v>
      </c>
      <c r="W160" s="248" t="s">
        <v>7</v>
      </c>
      <c r="X160" s="139" t="str">
        <f t="shared" si="60"/>
        <v>40%</v>
      </c>
      <c r="Y160" s="151" t="s">
        <v>17</v>
      </c>
      <c r="Z160" s="152" t="s">
        <v>20</v>
      </c>
      <c r="AA160" s="153" t="s">
        <v>105</v>
      </c>
      <c r="AB160" s="210"/>
      <c r="AC160" s="332" t="s">
        <v>545</v>
      </c>
      <c r="AD160" s="390">
        <v>0.6</v>
      </c>
      <c r="AE160" s="147" t="str">
        <f t="shared" si="71"/>
        <v>Media</v>
      </c>
      <c r="AF160" s="139">
        <f t="shared" si="72"/>
        <v>0.6</v>
      </c>
      <c r="AG160" s="143" t="str">
        <f t="shared" si="73"/>
        <v>Moderado</v>
      </c>
      <c r="AH160" s="139">
        <f>IFERROR(IF(U160="Impacto",(Q160-(+Q160*X160)),IF(U160="Probabilidad",Q160,"")),"")</f>
        <v>0.6</v>
      </c>
      <c r="AI160" s="213" t="str">
        <f t="shared" si="63"/>
        <v>Moderado</v>
      </c>
      <c r="AJ160" s="143" t="str">
        <f t="shared" si="75"/>
        <v>Moderado</v>
      </c>
      <c r="AK160" s="249" t="s">
        <v>119</v>
      </c>
    </row>
    <row r="161" spans="1:80" ht="130.5" customHeight="1" x14ac:dyDescent="0.2">
      <c r="A161" s="682"/>
      <c r="B161" s="660"/>
      <c r="C161" s="807"/>
      <c r="D161" s="649"/>
      <c r="E161" s="659"/>
      <c r="F161" s="576"/>
      <c r="G161" s="654"/>
      <c r="H161" s="654"/>
      <c r="I161" s="595"/>
      <c r="J161" s="655"/>
      <c r="K161" s="595"/>
      <c r="L161" s="606"/>
      <c r="M161" s="566"/>
      <c r="N161" s="568"/>
      <c r="O161" s="568"/>
      <c r="P161" s="566"/>
      <c r="Q161" s="568"/>
      <c r="R161" s="564"/>
      <c r="S161" s="219">
        <v>2</v>
      </c>
      <c r="T161" s="391" t="s">
        <v>383</v>
      </c>
      <c r="U161" s="140" t="str">
        <f>IF(OR(V161="Preventivo",V161="Detectivo"),"Probabilidad",IF(V161="Correctivo","Impacto",""))</f>
        <v>Probabilidad</v>
      </c>
      <c r="V161" s="248" t="s">
        <v>12</v>
      </c>
      <c r="W161" s="248" t="s">
        <v>7</v>
      </c>
      <c r="X161" s="139" t="str">
        <f t="shared" si="60"/>
        <v>40%</v>
      </c>
      <c r="Y161" s="151" t="s">
        <v>17</v>
      </c>
      <c r="Z161" s="152" t="s">
        <v>20</v>
      </c>
      <c r="AA161" s="153" t="s">
        <v>105</v>
      </c>
      <c r="AB161" s="210"/>
      <c r="AC161" s="332" t="s">
        <v>546</v>
      </c>
      <c r="AD161" s="390">
        <v>0.6</v>
      </c>
      <c r="AE161" s="147" t="str">
        <f t="shared" si="71"/>
        <v>Media</v>
      </c>
      <c r="AF161" s="139">
        <f t="shared" si="72"/>
        <v>0.6</v>
      </c>
      <c r="AG161" s="143" t="str">
        <f t="shared" si="73"/>
        <v>Moderado</v>
      </c>
      <c r="AH161" s="155">
        <f>IFERROR(IF(AND(U160="Impacto",U161="Impacto"),(AH159-(+AH159*X161)),IF(U161="Impacto",($M$77-(+$M$77*X161)),IF(U161="Probabilidad",AH159,""))),"")</f>
        <v>0.6</v>
      </c>
      <c r="AI161" s="213" t="str">
        <f t="shared" si="63"/>
        <v>Moderado</v>
      </c>
      <c r="AJ161" s="143" t="str">
        <f t="shared" si="75"/>
        <v>Moderado</v>
      </c>
      <c r="AK161" s="249" t="s">
        <v>119</v>
      </c>
    </row>
    <row r="162" spans="1:80" s="134" customFormat="1" ht="130.5" customHeight="1" x14ac:dyDescent="0.2">
      <c r="A162" s="682"/>
      <c r="B162" s="660"/>
      <c r="C162" s="807"/>
      <c r="D162" s="649"/>
      <c r="E162" s="658">
        <v>80</v>
      </c>
      <c r="F162" s="575" t="s">
        <v>805</v>
      </c>
      <c r="G162" s="653" t="s">
        <v>806</v>
      </c>
      <c r="H162" s="653" t="s">
        <v>807</v>
      </c>
      <c r="I162" s="739" t="s">
        <v>393</v>
      </c>
      <c r="J162" s="732" t="s">
        <v>109</v>
      </c>
      <c r="K162" s="594" t="s">
        <v>199</v>
      </c>
      <c r="L162" s="605">
        <v>365</v>
      </c>
      <c r="M162" s="565" t="s">
        <v>93</v>
      </c>
      <c r="N162" s="567">
        <v>0.6</v>
      </c>
      <c r="O162" s="567" t="s">
        <v>86</v>
      </c>
      <c r="P162" s="565" t="s">
        <v>68</v>
      </c>
      <c r="Q162" s="567">
        <f>IF(P162="","",IF(P162="Leve",0.2,IF(P162="Menor",0.4,IF(P162="Moderado",0.6,IF(P162="Mayor",0.8,IF(P162="Catastrófico",1,))))))</f>
        <v>0.6</v>
      </c>
      <c r="R162" s="562" t="str">
        <f>IF(OR(AND(M162="Muy Baja",P162="Leve"),AND(M162="Muy Baja",P162="Menor"),AND(M162="Baja",P162="Leve")),"Bajo",IF(OR(AND(M162="Muy baja",P162="Moderado"),AND(M162="Baja",P162="Menor"),AND(M162="Baja",P162="Moderado"),AND(M162="Media",P162="Leve"),AND(M162="Media",P162="Menor"),AND(M162="Media",P162="Moderado"),AND(M162="Alta",P162="Leve"),AND(M162="Alta",P162="Menor")),"Moderado",IF(OR(AND(M162="Muy Baja",P162="Mayor"),AND(M162="Baja",P162="Mayor"),AND(M162="Media",P162="Mayor"),AND(M162="Alta",P162="Moderado"),AND(M162="Alta",P162="Mayor"),AND(M162="Muy Alta",P162="Leve"),AND(M162="Muy Alta",P162="Menor"),AND(M162="Muy Alta",P162="Moderado"),AND(M162="Muy Alta",P162="Mayor")),"Alto",IF(OR(AND(M162="Muy Baja",P162="Catastrófico"),AND(M162="Baja",P162="Catastrófico"),AND(M162="Media",P162="Catastrófico"),AND(M162="Alta",P162="Catastrófico"),AND(M162="Muy Alta",P162="Catastrófico")),"Extremo",""))))</f>
        <v>Moderado</v>
      </c>
      <c r="S162" s="319">
        <v>1</v>
      </c>
      <c r="T162" s="332" t="s">
        <v>808</v>
      </c>
      <c r="U162" s="315" t="s">
        <v>2</v>
      </c>
      <c r="V162" s="322" t="s">
        <v>12</v>
      </c>
      <c r="W162" s="322" t="s">
        <v>7</v>
      </c>
      <c r="X162" s="325">
        <v>0.4</v>
      </c>
      <c r="Y162" s="338" t="s">
        <v>18</v>
      </c>
      <c r="Z162" s="339" t="s">
        <v>20</v>
      </c>
      <c r="AA162" s="136" t="s">
        <v>23</v>
      </c>
      <c r="AB162" s="210"/>
      <c r="AC162" s="332" t="s">
        <v>580</v>
      </c>
      <c r="AD162" s="390">
        <v>0.6</v>
      </c>
      <c r="AE162" s="147" t="str">
        <f t="shared" si="71"/>
        <v>Media</v>
      </c>
      <c r="AF162" s="139">
        <f t="shared" si="72"/>
        <v>0.6</v>
      </c>
      <c r="AG162" s="143" t="str">
        <f t="shared" si="73"/>
        <v>Moderado</v>
      </c>
      <c r="AH162" s="155">
        <f>IFERROR(IF(AND(U161="Impacto",U162="Impacto"),(AH160-(+AH160*X162)),IF(U162="Impacto",($M$77-(+$M$77*X162)),IF(U162="Probabilidad",AH160,""))),"")</f>
        <v>0.6</v>
      </c>
      <c r="AI162" s="213" t="str">
        <f t="shared" si="63"/>
        <v>Moderado</v>
      </c>
      <c r="AJ162" s="143" t="str">
        <f t="shared" si="75"/>
        <v>Moderado</v>
      </c>
      <c r="AK162" s="249" t="s">
        <v>119</v>
      </c>
      <c r="AL162" s="234"/>
      <c r="AM162" s="234"/>
      <c r="AN162" s="234"/>
      <c r="AO162" s="234"/>
      <c r="AP162" s="234"/>
      <c r="AQ162" s="234"/>
      <c r="AR162" s="234"/>
      <c r="AS162" s="234"/>
      <c r="AT162" s="234"/>
      <c r="AU162" s="234"/>
      <c r="AV162" s="234"/>
      <c r="AW162" s="234"/>
      <c r="AX162" s="234"/>
      <c r="AY162" s="234"/>
      <c r="AZ162" s="234"/>
      <c r="BA162" s="234"/>
      <c r="BB162" s="234"/>
      <c r="BC162" s="234"/>
      <c r="BD162" s="234"/>
      <c r="BE162" s="234"/>
      <c r="BF162" s="234"/>
      <c r="BG162" s="234"/>
      <c r="BH162" s="234"/>
      <c r="BI162" s="234"/>
      <c r="BJ162" s="234"/>
      <c r="BK162" s="234"/>
      <c r="BL162" s="234"/>
      <c r="BM162" s="234"/>
      <c r="BN162" s="234"/>
      <c r="BO162" s="234"/>
      <c r="BP162" s="234"/>
      <c r="BQ162" s="234"/>
      <c r="BR162" s="234"/>
      <c r="BS162" s="234"/>
      <c r="BT162" s="234"/>
      <c r="BU162" s="234"/>
      <c r="BV162" s="234"/>
      <c r="BW162" s="234"/>
      <c r="BX162" s="234"/>
      <c r="BY162" s="234"/>
      <c r="BZ162" s="234"/>
      <c r="CA162" s="234"/>
      <c r="CB162" s="234"/>
    </row>
    <row r="163" spans="1:80" s="134" customFormat="1" ht="130.5" customHeight="1" x14ac:dyDescent="0.2">
      <c r="A163" s="682"/>
      <c r="B163" s="660"/>
      <c r="C163" s="807"/>
      <c r="D163" s="649"/>
      <c r="E163" s="659"/>
      <c r="F163" s="576"/>
      <c r="G163" s="654"/>
      <c r="H163" s="654"/>
      <c r="I163" s="740"/>
      <c r="J163" s="732"/>
      <c r="K163" s="595"/>
      <c r="L163" s="606"/>
      <c r="M163" s="566"/>
      <c r="N163" s="568"/>
      <c r="O163" s="568"/>
      <c r="P163" s="566"/>
      <c r="Q163" s="568"/>
      <c r="R163" s="564"/>
      <c r="S163" s="319">
        <v>2</v>
      </c>
      <c r="T163" s="267" t="s">
        <v>809</v>
      </c>
      <c r="U163" s="315" t="s">
        <v>2</v>
      </c>
      <c r="V163" s="322" t="s">
        <v>12</v>
      </c>
      <c r="W163" s="322" t="s">
        <v>7</v>
      </c>
      <c r="X163" s="325">
        <v>0.4</v>
      </c>
      <c r="Y163" s="338" t="s">
        <v>18</v>
      </c>
      <c r="Z163" s="339" t="s">
        <v>20</v>
      </c>
      <c r="AA163" s="136" t="s">
        <v>23</v>
      </c>
      <c r="AB163" s="210"/>
      <c r="AC163" s="332" t="s">
        <v>863</v>
      </c>
      <c r="AD163" s="390">
        <v>0.6</v>
      </c>
      <c r="AE163" s="147" t="str">
        <f t="shared" si="71"/>
        <v>Media</v>
      </c>
      <c r="AF163" s="139">
        <f t="shared" si="72"/>
        <v>0.6</v>
      </c>
      <c r="AG163" s="143" t="str">
        <f t="shared" si="73"/>
        <v>Moderado</v>
      </c>
      <c r="AH163" s="155">
        <f>IFERROR(IF(AND(U162="Impacto",U163="Impacto"),(AH161-(+AH161*X163)),IF(U163="Impacto",($M$77-(+$M$77*X163)),IF(U163="Probabilidad",AH161,""))),"")</f>
        <v>0.6</v>
      </c>
      <c r="AI163" s="213" t="str">
        <f t="shared" si="63"/>
        <v>Moderado</v>
      </c>
      <c r="AJ163" s="143" t="str">
        <f t="shared" si="75"/>
        <v>Moderado</v>
      </c>
      <c r="AK163" s="249" t="s">
        <v>119</v>
      </c>
      <c r="AL163" s="234"/>
      <c r="AM163" s="234"/>
      <c r="AN163" s="234"/>
      <c r="AO163" s="234"/>
      <c r="AP163" s="234"/>
      <c r="AQ163" s="234"/>
      <c r="AR163" s="234"/>
      <c r="AS163" s="234"/>
      <c r="AT163" s="234"/>
      <c r="AU163" s="234"/>
      <c r="AV163" s="234"/>
      <c r="AW163" s="234"/>
      <c r="AX163" s="234"/>
      <c r="AY163" s="234"/>
      <c r="AZ163" s="234"/>
      <c r="BA163" s="234"/>
      <c r="BB163" s="234"/>
      <c r="BC163" s="234"/>
      <c r="BD163" s="234"/>
      <c r="BE163" s="234"/>
      <c r="BF163" s="234"/>
      <c r="BG163" s="234"/>
      <c r="BH163" s="234"/>
      <c r="BI163" s="234"/>
      <c r="BJ163" s="234"/>
      <c r="BK163" s="234"/>
      <c r="BL163" s="234"/>
      <c r="BM163" s="234"/>
      <c r="BN163" s="234"/>
      <c r="BO163" s="234"/>
      <c r="BP163" s="234"/>
      <c r="BQ163" s="234"/>
      <c r="BR163" s="234"/>
      <c r="BS163" s="234"/>
      <c r="BT163" s="234"/>
      <c r="BU163" s="234"/>
      <c r="BV163" s="234"/>
      <c r="BW163" s="234"/>
      <c r="BX163" s="234"/>
      <c r="BY163" s="234"/>
      <c r="BZ163" s="234"/>
      <c r="CA163" s="234"/>
      <c r="CB163" s="234"/>
    </row>
    <row r="164" spans="1:80" s="134" customFormat="1" ht="192" customHeight="1" x14ac:dyDescent="0.2">
      <c r="A164" s="682"/>
      <c r="B164" s="660"/>
      <c r="C164" s="807"/>
      <c r="D164" s="649"/>
      <c r="E164" s="346">
        <v>81</v>
      </c>
      <c r="F164" s="313" t="s">
        <v>802</v>
      </c>
      <c r="G164" s="331" t="s">
        <v>803</v>
      </c>
      <c r="H164" s="347" t="s">
        <v>804</v>
      </c>
      <c r="I164" s="270" t="s">
        <v>412</v>
      </c>
      <c r="J164" s="332" t="s">
        <v>218</v>
      </c>
      <c r="K164" s="319" t="s">
        <v>199</v>
      </c>
      <c r="L164" s="216">
        <v>365</v>
      </c>
      <c r="M164" s="306" t="s">
        <v>93</v>
      </c>
      <c r="N164" s="308">
        <v>0.6</v>
      </c>
      <c r="O164" s="214" t="s">
        <v>132</v>
      </c>
      <c r="P164" s="306" t="s">
        <v>68</v>
      </c>
      <c r="Q164" s="214">
        <f>IF(P164="","",IF(P164="Leve",0.2,IF(P164="Menor",0.4,IF(P164="Moderado",0.6,IF(P164="Mayor",0.8,IF(P164="Catastrófico",1,))))))</f>
        <v>0.6</v>
      </c>
      <c r="R164" s="304" t="str">
        <f>IF(OR(AND(M164="Muy Baja",P164="Leve"),AND(M164="Muy Baja",P164="Menor"),AND(M164="Baja",P164="Leve")),"Bajo",IF(OR(AND(M164="Muy baja",P164="Moderado"),AND(M164="Baja",P164="Menor"),AND(M164="Baja",P164="Moderado"),AND(M164="Media",P164="Leve"),AND(M164="Media",P164="Menor"),AND(M164="Media",P164="Moderado"),AND(M164="Alta",P164="Leve"),AND(M164="Alta",P164="Menor")),"Moderado",IF(OR(AND(M164="Muy Baja",P164="Mayor"),AND(M164="Baja",P164="Mayor"),AND(M164="Media",P164="Mayor"),AND(M164="Alta",P164="Moderado"),AND(M164="Alta",P164="Mayor"),AND(M164="Muy Alta",P164="Leve"),AND(M164="Muy Alta",P164="Menor"),AND(M164="Muy Alta",P164="Moderado"),AND(M164="Muy Alta",P164="Mayor")),"Alto",IF(OR(AND(M164="Muy Baja",P164="Catastrófico"),AND(M164="Baja",P164="Catastrófico"),AND(M164="Media",P164="Catastrófico"),AND(M164="Alta",P164="Catastrófico"),AND(M164="Muy Alta",P164="Catastrófico")),"Extremo",""))))</f>
        <v>Moderado</v>
      </c>
      <c r="S164" s="319">
        <v>1</v>
      </c>
      <c r="T164" s="267" t="s">
        <v>810</v>
      </c>
      <c r="U164" s="315" t="s">
        <v>2</v>
      </c>
      <c r="V164" s="322" t="s">
        <v>13</v>
      </c>
      <c r="W164" s="322" t="s">
        <v>7</v>
      </c>
      <c r="X164" s="325">
        <v>0.4</v>
      </c>
      <c r="Y164" s="338" t="s">
        <v>18</v>
      </c>
      <c r="Z164" s="339" t="s">
        <v>20</v>
      </c>
      <c r="AA164" s="136" t="s">
        <v>23</v>
      </c>
      <c r="AB164" s="210"/>
      <c r="AC164" s="332" t="s">
        <v>864</v>
      </c>
      <c r="AD164" s="390">
        <v>0.6</v>
      </c>
      <c r="AE164" s="147" t="str">
        <f t="shared" si="71"/>
        <v>Media</v>
      </c>
      <c r="AF164" s="139">
        <f t="shared" si="72"/>
        <v>0.6</v>
      </c>
      <c r="AG164" s="143" t="str">
        <f t="shared" si="73"/>
        <v>Moderado</v>
      </c>
      <c r="AH164" s="155">
        <f>IFERROR(IF(AND(U163="Impacto",U164="Impacto"),(AH162-(+AH162*X164)),IF(U164="Impacto",($M$77-(+$M$77*X164)),IF(U164="Probabilidad",AH162,""))),"")</f>
        <v>0.6</v>
      </c>
      <c r="AI164" s="213" t="str">
        <f t="shared" si="63"/>
        <v>Moderado</v>
      </c>
      <c r="AJ164" s="143" t="str">
        <f t="shared" si="75"/>
        <v>Moderado</v>
      </c>
      <c r="AK164" s="249" t="s">
        <v>119</v>
      </c>
      <c r="AL164" s="234"/>
      <c r="AM164" s="234"/>
      <c r="AN164" s="234"/>
      <c r="AO164" s="234"/>
      <c r="AP164" s="234"/>
      <c r="AQ164" s="234"/>
      <c r="AR164" s="234"/>
      <c r="AS164" s="234"/>
      <c r="AT164" s="234"/>
      <c r="AU164" s="234"/>
      <c r="AV164" s="234"/>
      <c r="AW164" s="234"/>
      <c r="AX164" s="234"/>
      <c r="AY164" s="234"/>
      <c r="AZ164" s="234"/>
      <c r="BA164" s="234"/>
      <c r="BB164" s="234"/>
      <c r="BC164" s="234"/>
      <c r="BD164" s="234"/>
      <c r="BE164" s="234"/>
      <c r="BF164" s="234"/>
      <c r="BG164" s="234"/>
      <c r="BH164" s="234"/>
      <c r="BI164" s="234"/>
      <c r="BJ164" s="234"/>
      <c r="BK164" s="234"/>
      <c r="BL164" s="234"/>
      <c r="BM164" s="234"/>
      <c r="BN164" s="234"/>
      <c r="BO164" s="234"/>
      <c r="BP164" s="234"/>
      <c r="BQ164" s="234"/>
      <c r="BR164" s="234"/>
      <c r="BS164" s="234"/>
      <c r="BT164" s="234"/>
      <c r="BU164" s="234"/>
      <c r="BV164" s="234"/>
      <c r="BW164" s="234"/>
      <c r="BX164" s="234"/>
      <c r="BY164" s="234"/>
      <c r="BZ164" s="234"/>
      <c r="CA164" s="234"/>
      <c r="CB164" s="234"/>
    </row>
    <row r="165" spans="1:80" s="134" customFormat="1" ht="123" customHeight="1" x14ac:dyDescent="0.2">
      <c r="A165" s="682"/>
      <c r="B165" s="808">
        <v>20</v>
      </c>
      <c r="C165" s="811" t="s">
        <v>330</v>
      </c>
      <c r="D165" s="789" t="s">
        <v>332</v>
      </c>
      <c r="E165" s="178">
        <v>82</v>
      </c>
      <c r="F165" s="209" t="s">
        <v>405</v>
      </c>
      <c r="G165" s="364" t="s">
        <v>399</v>
      </c>
      <c r="H165" s="263" t="s">
        <v>400</v>
      </c>
      <c r="I165" s="331" t="s">
        <v>214</v>
      </c>
      <c r="J165" s="364" t="s">
        <v>218</v>
      </c>
      <c r="K165" s="319" t="s">
        <v>199</v>
      </c>
      <c r="L165" s="216">
        <v>300</v>
      </c>
      <c r="M165" s="217" t="str">
        <f t="shared" ref="M165:M173" si="80">IF(L165&lt;=0,"",IF(L165&lt;=2,"Muy Baja",IF(L165&lt;=24,"Baja",IF(L165&lt;=500,"Media",IF(L165&lt;=5000,"Alta","Muy Alta")))))</f>
        <v>Media</v>
      </c>
      <c r="N165" s="227">
        <f t="shared" ref="N165:N173" si="81">IF(M165="","",IF(M165="Muy Baja",0.2,IF(M165="Baja",0.4,IF(M165="Media",0.6,IF(M165="Alta",0.8,IF(M165="Muy Alta",1,))))))</f>
        <v>0.6</v>
      </c>
      <c r="O165" s="214" t="s">
        <v>132</v>
      </c>
      <c r="P165" s="217" t="str">
        <f>IF(OR(O166='6.Tabla Impacto'!$C$11,O166='6.Tabla Impacto'!$D$11),"Leve",IF(OR(O166='6.Tabla Impacto'!$C$12,O166='6.Tabla Impacto'!$D$12),"Menor",IF(OR(O166='6.Tabla Impacto'!$C$13,O148='6.Tabla Impacto'!$D$13),"Moderado",IF(OR(O166='6.Tabla Impacto'!$C$14,O166:O166='6.Tabla Impacto'!$D$14),"Mayor",IF(OR(O166='6.Tabla Impacto'!$C$15,O166='6.Tabla Impacto'!$D$15),"Catastrófico","")))))</f>
        <v>Mayor</v>
      </c>
      <c r="Q165" s="369">
        <f t="shared" ref="Q165:Q173" si="82">IF(P165="","",IF(P165="Leve",0.2,IF(P165="Menor",0.4,IF(P165="Moderado",0.6,IF(P165="Mayor",0.8,IF(P165="Catastrófico",1,))))))</f>
        <v>0.8</v>
      </c>
      <c r="R165" s="215" t="str">
        <f t="shared" ref="R165:R173" si="83">IF(OR(AND(M165="Muy Baja",P165="Leve"),AND(M165="Muy Baja",P165="Menor"),AND(M165="Baja",P165="Leve")),"Bajo",IF(OR(AND(M165="Muy baja",P165="Moderado"),AND(M165="Baja",P165="Menor"),AND(M165="Baja",P165="Moderado"),AND(M165="Media",P165="Leve"),AND(M165="Media",P165="Menor"),AND(M165="Media",P165="Moderado"),AND(M165="Alta",P165="Leve"),AND(M165="Alta",P165="Menor")),"Moderado",IF(OR(AND(M165="Muy Baja",P165="Mayor"),AND(M165="Baja",P165="Mayor"),AND(M165="Media",P165="Mayor"),AND(M165="Alta",P165="Moderado"),AND(M165="Alta",P165="Mayor"),AND(M165="Muy Alta",P165="Leve"),AND(M165="Muy Alta",P165="Menor"),AND(M165="Muy Alta",P165="Moderado"),AND(M165="Muy Alta",P165="Mayor")),"Alto",IF(OR(AND(M165="Muy Baja",P165="Catastrófico"),AND(M165="Baja",P165="Catastrófico"),AND(M165="Media",P165="Catastrófico"),AND(M165="Alta",P165="Catastrófico"),AND(M165="Muy Alta",P165="Catastrófico")),"Extremo",""))))</f>
        <v>Alto</v>
      </c>
      <c r="S165" s="318">
        <v>1</v>
      </c>
      <c r="T165" s="364" t="s">
        <v>468</v>
      </c>
      <c r="U165" s="159" t="s">
        <v>1</v>
      </c>
      <c r="V165" s="149" t="s">
        <v>12</v>
      </c>
      <c r="W165" s="149" t="s">
        <v>7</v>
      </c>
      <c r="X165" s="150" t="str">
        <f t="shared" si="60"/>
        <v>40%</v>
      </c>
      <c r="Y165" s="151" t="s">
        <v>17</v>
      </c>
      <c r="Z165" s="152" t="s">
        <v>20</v>
      </c>
      <c r="AA165" s="153" t="s">
        <v>105</v>
      </c>
      <c r="AB165" s="210"/>
      <c r="AC165" s="332" t="s">
        <v>407</v>
      </c>
      <c r="AD165" s="390">
        <v>0.6</v>
      </c>
      <c r="AE165" s="147" t="str">
        <f t="shared" si="71"/>
        <v>Media</v>
      </c>
      <c r="AF165" s="139">
        <f t="shared" si="72"/>
        <v>0.6</v>
      </c>
      <c r="AG165" s="143" t="str">
        <f t="shared" si="73"/>
        <v>Moderado</v>
      </c>
      <c r="AH165" s="155">
        <v>0.6</v>
      </c>
      <c r="AI165" s="213" t="str">
        <f t="shared" si="63"/>
        <v>Moderado</v>
      </c>
      <c r="AJ165" s="352" t="str">
        <f t="shared" si="75"/>
        <v>Moderado</v>
      </c>
      <c r="AK165" s="249" t="s">
        <v>119</v>
      </c>
      <c r="AL165" s="234"/>
      <c r="AM165" s="234"/>
      <c r="AN165" s="234"/>
      <c r="AO165" s="234"/>
      <c r="AP165" s="234"/>
      <c r="AQ165" s="234"/>
      <c r="AR165" s="234"/>
      <c r="AS165" s="234"/>
      <c r="AT165" s="234"/>
      <c r="AU165" s="234"/>
      <c r="AV165" s="234"/>
      <c r="AW165" s="234"/>
      <c r="AX165" s="234"/>
      <c r="AY165" s="234"/>
      <c r="AZ165" s="234"/>
      <c r="BA165" s="234"/>
      <c r="BB165" s="234"/>
      <c r="BC165" s="234"/>
      <c r="BD165" s="234"/>
      <c r="BE165" s="234"/>
      <c r="BF165" s="234"/>
      <c r="BG165" s="234"/>
      <c r="BH165" s="234"/>
      <c r="BI165" s="234"/>
      <c r="BJ165" s="234"/>
      <c r="BK165" s="234"/>
      <c r="BL165" s="234"/>
      <c r="BM165" s="234"/>
      <c r="BN165" s="234"/>
      <c r="BO165" s="234"/>
      <c r="BP165" s="234"/>
      <c r="BQ165" s="234"/>
      <c r="BR165" s="234"/>
      <c r="BS165" s="234"/>
      <c r="BT165" s="234"/>
      <c r="BU165" s="234"/>
      <c r="BV165" s="234"/>
      <c r="BW165" s="234"/>
      <c r="BX165" s="234"/>
      <c r="BY165" s="234"/>
      <c r="BZ165" s="234"/>
      <c r="CA165" s="234"/>
      <c r="CB165" s="234"/>
    </row>
    <row r="166" spans="1:80" s="134" customFormat="1" ht="89.25" customHeight="1" x14ac:dyDescent="0.2">
      <c r="A166" s="682"/>
      <c r="B166" s="809"/>
      <c r="C166" s="812"/>
      <c r="D166" s="790"/>
      <c r="E166" s="658">
        <v>83</v>
      </c>
      <c r="F166" s="575" t="s">
        <v>398</v>
      </c>
      <c r="G166" s="670" t="s">
        <v>404</v>
      </c>
      <c r="H166" s="670" t="s">
        <v>406</v>
      </c>
      <c r="I166" s="653" t="s">
        <v>214</v>
      </c>
      <c r="J166" s="592" t="s">
        <v>232</v>
      </c>
      <c r="K166" s="594" t="s">
        <v>199</v>
      </c>
      <c r="L166" s="605">
        <v>33000</v>
      </c>
      <c r="M166" s="565" t="str">
        <f>IF(L166&lt;=0,"",IF(L166&lt;=2,"Muy Baja",IF(L166&lt;=24,"Baja",IF(L166&lt;=500,"Media",IF(L166&lt;=5000,"Alta","Muy Alta")))))</f>
        <v>Muy Alta</v>
      </c>
      <c r="N166" s="567">
        <f>IF(M166="","",IF(M166="Muy Baja",0.2,IF(M166="Baja",0.4,IF(M166="Media",0.6,IF(M166="Alta",0.8,IF(M166="Muy Alta",1,))))))</f>
        <v>1</v>
      </c>
      <c r="O166" s="567" t="s">
        <v>104</v>
      </c>
      <c r="P166" s="565" t="str">
        <f>IF(OR(O166='6.Tabla Impacto'!$C$11,O166='6.Tabla Impacto'!$D$11),"Leve",IF(OR(O166='6.Tabla Impacto'!$C$12,O166='6.Tabla Impacto'!$D$12),"Menor",IF(OR(O166='6.Tabla Impacto'!$C$13,O166='6.Tabla Impacto'!$D$13),"Moderado",IF(OR(O166='6.Tabla Impacto'!$C$14,O166:O166='6.Tabla Impacto'!$D$14),"Mayor",IF(OR(O166='6.Tabla Impacto'!$C$15,O166='6.Tabla Impacto'!$D$15),"Catastrófico","")))))</f>
        <v>Mayor</v>
      </c>
      <c r="Q166" s="567">
        <f>IF(P166="","",IF(P166="Leve",0.2,IF(P166="Menor",0.4,IF(P166="Moderado",0.6,IF(P166="Mayor",0.8,IF(P166="Catastrófico",1,))))))</f>
        <v>0.8</v>
      </c>
      <c r="R166" s="562" t="str">
        <f>IF(OR(AND(M166="Muy Baja",P166="Leve"),AND(M166="Muy Baja",P166="Menor"),AND(M166="Baja",P166="Leve")),"Bajo",IF(OR(AND(M166="Muy baja",P166="Moderado"),AND(M166="Baja",P166="Menor"),AND(M166="Baja",P166="Moderado"),AND(M166="Media",P166="Leve"),AND(M166="Media",P166="Menor"),AND(M166="Media",P166="Moderado"),AND(M166="Alta",P166="Leve"),AND(M166="Alta",P166="Menor")),"Moderado",IF(OR(AND(M166="Muy Baja",P166="Mayor"),AND(M166="Baja",P166="Mayor"),AND(M166="Media",P166="Mayor"),AND(M166="Alta",P166="Moderado"),AND(M166="Alta",P166="Mayor"),AND(M166="Muy Alta",P166="Leve"),AND(M166="Muy Alta",P166="Menor"),AND(M166="Muy Alta",P166="Moderado"),AND(M166="Muy Alta",P166="Mayor")),"Alto",IF(OR(AND(M166="Muy Baja",P166="Catastrófico"),AND(M166="Baja",P166="Catastrófico"),AND(M166="Media",P166="Catastrófico"),AND(M166="Alta",P166="Catastrófico"),AND(M166="Muy Alta",P166="Catastrófico")),"Extremo",""))))</f>
        <v>Alto</v>
      </c>
      <c r="S166" s="318">
        <v>1</v>
      </c>
      <c r="T166" s="364" t="s">
        <v>547</v>
      </c>
      <c r="U166" s="159" t="s">
        <v>1</v>
      </c>
      <c r="V166" s="149" t="s">
        <v>12</v>
      </c>
      <c r="W166" s="149" t="s">
        <v>7</v>
      </c>
      <c r="X166" s="150" t="str">
        <f t="shared" si="60"/>
        <v>40%</v>
      </c>
      <c r="Y166" s="151" t="s">
        <v>17</v>
      </c>
      <c r="Z166" s="152" t="s">
        <v>20</v>
      </c>
      <c r="AA166" s="153" t="s">
        <v>105</v>
      </c>
      <c r="AB166" s="210"/>
      <c r="AC166" s="332" t="s">
        <v>548</v>
      </c>
      <c r="AD166" s="141">
        <f>IFERROR(IF(U166="Probabilidad",(N166-(+N166*X166)),IF(U166="Impacto",N166,"")),"")</f>
        <v>1</v>
      </c>
      <c r="AE166" s="203" t="str">
        <f t="shared" si="71"/>
        <v>Muy Alta</v>
      </c>
      <c r="AF166" s="139">
        <f t="shared" si="72"/>
        <v>1</v>
      </c>
      <c r="AG166" s="143" t="s">
        <v>5</v>
      </c>
      <c r="AH166" s="139">
        <v>0.8</v>
      </c>
      <c r="AI166" s="213" t="str">
        <f t="shared" si="63"/>
        <v>Alto</v>
      </c>
      <c r="AJ166" s="352" t="str">
        <f>AI166</f>
        <v>Alto</v>
      </c>
      <c r="AK166" s="249" t="s">
        <v>119</v>
      </c>
      <c r="AL166" s="234"/>
      <c r="AM166" s="234"/>
      <c r="AN166" s="234"/>
      <c r="AO166" s="234"/>
      <c r="AP166" s="234"/>
      <c r="AQ166" s="234"/>
      <c r="AR166" s="234"/>
      <c r="AS166" s="234"/>
      <c r="AT166" s="234"/>
      <c r="AU166" s="234"/>
      <c r="AV166" s="234"/>
      <c r="AW166" s="234"/>
      <c r="AX166" s="234"/>
      <c r="AY166" s="234"/>
      <c r="AZ166" s="234"/>
      <c r="BA166" s="234"/>
      <c r="BB166" s="234"/>
      <c r="BC166" s="234"/>
      <c r="BD166" s="234"/>
      <c r="BE166" s="234"/>
      <c r="BF166" s="234"/>
      <c r="BG166" s="234"/>
      <c r="BH166" s="234"/>
      <c r="BI166" s="234"/>
      <c r="BJ166" s="234"/>
      <c r="BK166" s="234"/>
      <c r="BL166" s="234"/>
      <c r="BM166" s="234"/>
      <c r="BN166" s="234"/>
      <c r="BO166" s="234"/>
      <c r="BP166" s="234"/>
      <c r="BQ166" s="234"/>
      <c r="BR166" s="234"/>
      <c r="BS166" s="234"/>
      <c r="BT166" s="234"/>
      <c r="BU166" s="234"/>
      <c r="BV166" s="234"/>
      <c r="BW166" s="234"/>
      <c r="BX166" s="234"/>
      <c r="BY166" s="234"/>
      <c r="BZ166" s="234"/>
      <c r="CA166" s="234"/>
      <c r="CB166" s="234"/>
    </row>
    <row r="167" spans="1:80" ht="145.5" customHeight="1" x14ac:dyDescent="0.2">
      <c r="A167" s="682"/>
      <c r="B167" s="809"/>
      <c r="C167" s="812"/>
      <c r="D167" s="790"/>
      <c r="E167" s="692"/>
      <c r="F167" s="742"/>
      <c r="G167" s="671"/>
      <c r="H167" s="671"/>
      <c r="I167" s="661"/>
      <c r="J167" s="647"/>
      <c r="K167" s="609"/>
      <c r="L167" s="637"/>
      <c r="M167" s="572"/>
      <c r="N167" s="571"/>
      <c r="O167" s="571"/>
      <c r="P167" s="572"/>
      <c r="Q167" s="571"/>
      <c r="R167" s="563"/>
      <c r="S167" s="219">
        <v>2</v>
      </c>
      <c r="T167" s="267" t="s">
        <v>441</v>
      </c>
      <c r="U167" s="159" t="str">
        <f>IF(OR(V167="Preventivo",V167="Detectivo"),"Probabilidad",IF(V167="Correctivo","Impacto",""))</f>
        <v>Probabilidad</v>
      </c>
      <c r="V167" s="149" t="s">
        <v>12</v>
      </c>
      <c r="W167" s="149" t="s">
        <v>7</v>
      </c>
      <c r="X167" s="150" t="str">
        <f t="shared" si="60"/>
        <v>40%</v>
      </c>
      <c r="Y167" s="151" t="s">
        <v>17</v>
      </c>
      <c r="Z167" s="152" t="s">
        <v>20</v>
      </c>
      <c r="AA167" s="153" t="s">
        <v>105</v>
      </c>
      <c r="AB167" s="210"/>
      <c r="AC167" s="332" t="s">
        <v>549</v>
      </c>
      <c r="AD167" s="141">
        <v>1</v>
      </c>
      <c r="AE167" s="203" t="str">
        <f t="shared" si="71"/>
        <v>Muy Alta</v>
      </c>
      <c r="AF167" s="139">
        <f t="shared" si="72"/>
        <v>1</v>
      </c>
      <c r="AG167" s="143" t="s">
        <v>5</v>
      </c>
      <c r="AH167" s="139">
        <v>0.8</v>
      </c>
      <c r="AI167" s="213" t="str">
        <f t="shared" si="63"/>
        <v>Alto</v>
      </c>
      <c r="AJ167" s="352" t="str">
        <f>AI167</f>
        <v>Alto</v>
      </c>
      <c r="AK167" s="249" t="s">
        <v>119</v>
      </c>
    </row>
    <row r="168" spans="1:80" s="134" customFormat="1" ht="294" customHeight="1" x14ac:dyDescent="0.2">
      <c r="A168" s="682"/>
      <c r="B168" s="809"/>
      <c r="C168" s="812"/>
      <c r="D168" s="790"/>
      <c r="E168" s="692"/>
      <c r="F168" s="742"/>
      <c r="G168" s="671"/>
      <c r="H168" s="671"/>
      <c r="I168" s="661"/>
      <c r="J168" s="647"/>
      <c r="K168" s="609"/>
      <c r="L168" s="637"/>
      <c r="M168" s="572"/>
      <c r="N168" s="571"/>
      <c r="O168" s="571"/>
      <c r="P168" s="572"/>
      <c r="Q168" s="571"/>
      <c r="R168" s="563"/>
      <c r="S168" s="219">
        <v>3</v>
      </c>
      <c r="T168" s="267" t="s">
        <v>408</v>
      </c>
      <c r="U168" s="159" t="s">
        <v>2</v>
      </c>
      <c r="V168" s="149" t="s">
        <v>12</v>
      </c>
      <c r="W168" s="149" t="s">
        <v>7</v>
      </c>
      <c r="X168" s="150" t="str">
        <f t="shared" si="60"/>
        <v>40%</v>
      </c>
      <c r="Y168" s="151" t="s">
        <v>409</v>
      </c>
      <c r="Z168" s="152" t="s">
        <v>20</v>
      </c>
      <c r="AA168" s="153" t="s">
        <v>105</v>
      </c>
      <c r="AB168" s="210"/>
      <c r="AC168" s="332" t="s">
        <v>649</v>
      </c>
      <c r="AD168" s="141">
        <v>1</v>
      </c>
      <c r="AE168" s="203" t="str">
        <f t="shared" si="71"/>
        <v>Muy Alta</v>
      </c>
      <c r="AF168" s="139">
        <f t="shared" si="72"/>
        <v>1</v>
      </c>
      <c r="AG168" s="143" t="s">
        <v>5</v>
      </c>
      <c r="AH168" s="139">
        <v>0.8</v>
      </c>
      <c r="AI168" s="213" t="str">
        <f t="shared" si="63"/>
        <v>Alto</v>
      </c>
      <c r="AJ168" s="352" t="str">
        <f>AI168</f>
        <v>Alto</v>
      </c>
      <c r="AK168" s="249" t="s">
        <v>119</v>
      </c>
      <c r="AL168" s="234"/>
      <c r="AM168" s="234"/>
      <c r="AN168" s="234"/>
      <c r="AO168" s="234"/>
      <c r="AP168" s="234"/>
      <c r="AQ168" s="234"/>
      <c r="AR168" s="234"/>
      <c r="AS168" s="234"/>
      <c r="AT168" s="234"/>
      <c r="AU168" s="234"/>
      <c r="AV168" s="234"/>
      <c r="AW168" s="234"/>
      <c r="AX168" s="234"/>
      <c r="AY168" s="234"/>
      <c r="AZ168" s="234"/>
      <c r="BA168" s="234"/>
      <c r="BB168" s="234"/>
      <c r="BC168" s="234"/>
      <c r="BD168" s="234"/>
      <c r="BE168" s="234"/>
      <c r="BF168" s="234"/>
      <c r="BG168" s="234"/>
      <c r="BH168" s="234"/>
      <c r="BI168" s="234"/>
      <c r="BJ168" s="234"/>
      <c r="BK168" s="234"/>
      <c r="BL168" s="234"/>
      <c r="BM168" s="234"/>
      <c r="BN168" s="234"/>
      <c r="BO168" s="234"/>
      <c r="BP168" s="234"/>
      <c r="BQ168" s="234"/>
      <c r="BR168" s="234"/>
      <c r="BS168" s="234"/>
      <c r="BT168" s="234"/>
      <c r="BU168" s="234"/>
      <c r="BV168" s="234"/>
      <c r="BW168" s="234"/>
      <c r="BX168" s="234"/>
      <c r="BY168" s="234"/>
      <c r="BZ168" s="234"/>
      <c r="CA168" s="234"/>
      <c r="CB168" s="234"/>
    </row>
    <row r="169" spans="1:80" s="134" customFormat="1" ht="120" customHeight="1" x14ac:dyDescent="0.2">
      <c r="A169" s="682"/>
      <c r="B169" s="809"/>
      <c r="C169" s="812"/>
      <c r="D169" s="790"/>
      <c r="E169" s="659"/>
      <c r="F169" s="576"/>
      <c r="G169" s="672"/>
      <c r="H169" s="672"/>
      <c r="I169" s="654"/>
      <c r="J169" s="655"/>
      <c r="K169" s="595"/>
      <c r="L169" s="606"/>
      <c r="M169" s="566"/>
      <c r="N169" s="568"/>
      <c r="O169" s="568"/>
      <c r="P169" s="566"/>
      <c r="Q169" s="568"/>
      <c r="R169" s="564"/>
      <c r="S169" s="219">
        <v>4</v>
      </c>
      <c r="T169" s="267" t="s">
        <v>384</v>
      </c>
      <c r="U169" s="159" t="s">
        <v>2</v>
      </c>
      <c r="V169" s="149" t="s">
        <v>12</v>
      </c>
      <c r="W169" s="149" t="s">
        <v>7</v>
      </c>
      <c r="X169" s="150" t="str">
        <f t="shared" si="60"/>
        <v>40%</v>
      </c>
      <c r="Y169" s="151" t="s">
        <v>409</v>
      </c>
      <c r="Z169" s="152" t="s">
        <v>20</v>
      </c>
      <c r="AA169" s="153" t="s">
        <v>105</v>
      </c>
      <c r="AB169" s="210"/>
      <c r="AC169" s="332" t="s">
        <v>550</v>
      </c>
      <c r="AD169" s="141">
        <v>1</v>
      </c>
      <c r="AE169" s="203" t="str">
        <f t="shared" si="71"/>
        <v>Muy Alta</v>
      </c>
      <c r="AF169" s="139">
        <f t="shared" si="72"/>
        <v>1</v>
      </c>
      <c r="AG169" s="143" t="s">
        <v>5</v>
      </c>
      <c r="AH169" s="139">
        <v>0.8</v>
      </c>
      <c r="AI169" s="213" t="str">
        <f t="shared" si="63"/>
        <v>Alto</v>
      </c>
      <c r="AJ169" s="352" t="str">
        <f>AI169</f>
        <v>Alto</v>
      </c>
      <c r="AK169" s="249" t="s">
        <v>119</v>
      </c>
      <c r="AL169" s="234"/>
      <c r="AM169" s="234"/>
      <c r="AN169" s="234"/>
      <c r="AO169" s="234"/>
      <c r="AP169" s="234"/>
      <c r="AQ169" s="234"/>
      <c r="AR169" s="234"/>
      <c r="AS169" s="234"/>
      <c r="AT169" s="234"/>
      <c r="AU169" s="234"/>
      <c r="AV169" s="234"/>
      <c r="AW169" s="234"/>
      <c r="AX169" s="234"/>
      <c r="AY169" s="234"/>
      <c r="AZ169" s="234"/>
      <c r="BA169" s="234"/>
      <c r="BB169" s="234"/>
      <c r="BC169" s="234"/>
      <c r="BD169" s="234"/>
      <c r="BE169" s="234"/>
      <c r="BF169" s="234"/>
      <c r="BG169" s="234"/>
      <c r="BH169" s="234"/>
      <c r="BI169" s="234"/>
      <c r="BJ169" s="234"/>
      <c r="BK169" s="234"/>
      <c r="BL169" s="234"/>
      <c r="BM169" s="234"/>
      <c r="BN169" s="234"/>
      <c r="BO169" s="234"/>
      <c r="BP169" s="234"/>
      <c r="BQ169" s="234"/>
      <c r="BR169" s="234"/>
      <c r="BS169" s="234"/>
      <c r="BT169" s="234"/>
      <c r="BU169" s="234"/>
      <c r="BV169" s="234"/>
      <c r="BW169" s="234"/>
      <c r="BX169" s="234"/>
      <c r="BY169" s="234"/>
      <c r="BZ169" s="234"/>
      <c r="CA169" s="234"/>
      <c r="CB169" s="234"/>
    </row>
    <row r="170" spans="1:80" ht="283.5" customHeight="1" x14ac:dyDescent="0.2">
      <c r="A170" s="682"/>
      <c r="B170" s="809"/>
      <c r="C170" s="812"/>
      <c r="D170" s="789" t="s">
        <v>331</v>
      </c>
      <c r="E170" s="201">
        <v>84</v>
      </c>
      <c r="F170" s="267" t="s">
        <v>865</v>
      </c>
      <c r="G170" s="263" t="s">
        <v>866</v>
      </c>
      <c r="H170" s="263" t="s">
        <v>867</v>
      </c>
      <c r="I170" s="312" t="s">
        <v>393</v>
      </c>
      <c r="J170" s="364" t="s">
        <v>109</v>
      </c>
      <c r="K170" s="318" t="s">
        <v>199</v>
      </c>
      <c r="L170" s="216">
        <v>52</v>
      </c>
      <c r="M170" s="217" t="str">
        <f t="shared" si="80"/>
        <v>Media</v>
      </c>
      <c r="N170" s="214">
        <f t="shared" si="81"/>
        <v>0.6</v>
      </c>
      <c r="O170" s="214" t="s">
        <v>132</v>
      </c>
      <c r="P170" s="217" t="s">
        <v>68</v>
      </c>
      <c r="Q170" s="214">
        <f t="shared" si="82"/>
        <v>0.6</v>
      </c>
      <c r="R170" s="215" t="str">
        <f t="shared" si="83"/>
        <v>Moderado</v>
      </c>
      <c r="S170" s="219">
        <v>1</v>
      </c>
      <c r="T170" s="247" t="s">
        <v>868</v>
      </c>
      <c r="U170" s="159" t="s">
        <v>2</v>
      </c>
      <c r="V170" s="149" t="s">
        <v>12</v>
      </c>
      <c r="W170" s="149" t="s">
        <v>7</v>
      </c>
      <c r="X170" s="150" t="str">
        <f t="shared" si="60"/>
        <v>40%</v>
      </c>
      <c r="Y170" s="151" t="s">
        <v>17</v>
      </c>
      <c r="Z170" s="152" t="s">
        <v>20</v>
      </c>
      <c r="AA170" s="153" t="s">
        <v>105</v>
      </c>
      <c r="AB170" s="210"/>
      <c r="AC170" s="332" t="s">
        <v>641</v>
      </c>
      <c r="AD170" s="188">
        <f>IFERROR(IF(U170="Probabilidad",(N170-(+N170*X170)),IF(U170="Impacto",N170,"")),"")</f>
        <v>0.36</v>
      </c>
      <c r="AE170" s="147" t="str">
        <f t="shared" si="71"/>
        <v>Baja</v>
      </c>
      <c r="AF170" s="139">
        <f t="shared" si="72"/>
        <v>0.36</v>
      </c>
      <c r="AG170" s="143" t="str">
        <f t="shared" si="73"/>
        <v>Moderado</v>
      </c>
      <c r="AH170" s="139">
        <f>IFERROR(IF(U170="Impacto",(Q170-(+Q170*X170)),IF(U170="Probabilidad",Q170,"")),"")</f>
        <v>0.6</v>
      </c>
      <c r="AI170" s="213" t="str">
        <f t="shared" si="63"/>
        <v>Moderado</v>
      </c>
      <c r="AJ170" s="213" t="str">
        <f>$AI$170</f>
        <v>Moderado</v>
      </c>
      <c r="AK170" s="249" t="s">
        <v>119</v>
      </c>
    </row>
    <row r="171" spans="1:80" ht="174" customHeight="1" x14ac:dyDescent="0.2">
      <c r="A171" s="682"/>
      <c r="B171" s="809"/>
      <c r="C171" s="812"/>
      <c r="D171" s="790"/>
      <c r="E171" s="658">
        <v>85</v>
      </c>
      <c r="F171" s="579" t="s">
        <v>871</v>
      </c>
      <c r="G171" s="869" t="s">
        <v>872</v>
      </c>
      <c r="H171" s="653" t="s">
        <v>873</v>
      </c>
      <c r="I171" s="575" t="s">
        <v>392</v>
      </c>
      <c r="J171" s="592" t="s">
        <v>220</v>
      </c>
      <c r="K171" s="594" t="s">
        <v>199</v>
      </c>
      <c r="L171" s="605">
        <v>1456</v>
      </c>
      <c r="M171" s="565" t="str">
        <f t="shared" si="80"/>
        <v>Alta</v>
      </c>
      <c r="N171" s="567">
        <f t="shared" si="81"/>
        <v>0.8</v>
      </c>
      <c r="O171" s="567" t="s">
        <v>85</v>
      </c>
      <c r="P171" s="565" t="s">
        <v>68</v>
      </c>
      <c r="Q171" s="567">
        <f t="shared" si="82"/>
        <v>0.6</v>
      </c>
      <c r="R171" s="569" t="str">
        <f t="shared" si="83"/>
        <v>Alto</v>
      </c>
      <c r="S171" s="594">
        <v>1</v>
      </c>
      <c r="T171" s="579" t="s">
        <v>869</v>
      </c>
      <c r="U171" s="577" t="s">
        <v>2</v>
      </c>
      <c r="V171" s="598" t="s">
        <v>12</v>
      </c>
      <c r="W171" s="598" t="s">
        <v>7</v>
      </c>
      <c r="X171" s="603" t="str">
        <f t="shared" si="60"/>
        <v>40%</v>
      </c>
      <c r="Y171" s="573" t="s">
        <v>17</v>
      </c>
      <c r="Z171" s="596" t="s">
        <v>20</v>
      </c>
      <c r="AA171" s="598" t="s">
        <v>105</v>
      </c>
      <c r="AB171" s="592"/>
      <c r="AC171" s="592" t="s">
        <v>870</v>
      </c>
      <c r="AD171" s="675">
        <f>IFERROR(IF(U171="Probabilidad",(N171-(+N171*X171)),IF(U171="Impacto",N171,"")),"")</f>
        <v>0.48</v>
      </c>
      <c r="AE171" s="677" t="str">
        <f t="shared" si="71"/>
        <v>Media</v>
      </c>
      <c r="AF171" s="603">
        <f t="shared" si="72"/>
        <v>0.48</v>
      </c>
      <c r="AG171" s="677" t="str">
        <f t="shared" si="73"/>
        <v>Moderado</v>
      </c>
      <c r="AH171" s="603">
        <f>IFERROR(IF(U171="Impacto",(Q171-(+Q171*X171)),IF(U171="Probabilidad",Q171,"")),"")</f>
        <v>0.6</v>
      </c>
      <c r="AI171" s="720" t="str">
        <f t="shared" si="63"/>
        <v>Moderado</v>
      </c>
      <c r="AJ171" s="720" t="str">
        <f>$AI$175</f>
        <v>Moderado</v>
      </c>
      <c r="AK171" s="249" t="s">
        <v>119</v>
      </c>
    </row>
    <row r="172" spans="1:80" ht="162.75" customHeight="1" x14ac:dyDescent="0.2">
      <c r="A172" s="682"/>
      <c r="B172" s="809"/>
      <c r="C172" s="812"/>
      <c r="D172" s="790"/>
      <c r="E172" s="659"/>
      <c r="F172" s="580"/>
      <c r="G172" s="870"/>
      <c r="H172" s="654"/>
      <c r="I172" s="576"/>
      <c r="J172" s="655"/>
      <c r="K172" s="595"/>
      <c r="L172" s="606"/>
      <c r="M172" s="566"/>
      <c r="N172" s="568"/>
      <c r="O172" s="568"/>
      <c r="P172" s="566"/>
      <c r="Q172" s="568"/>
      <c r="R172" s="570"/>
      <c r="S172" s="595"/>
      <c r="T172" s="580"/>
      <c r="U172" s="578"/>
      <c r="V172" s="602"/>
      <c r="W172" s="602"/>
      <c r="X172" s="634"/>
      <c r="Y172" s="673"/>
      <c r="Z172" s="674"/>
      <c r="AA172" s="602"/>
      <c r="AB172" s="655"/>
      <c r="AC172" s="655"/>
      <c r="AD172" s="676"/>
      <c r="AE172" s="678"/>
      <c r="AF172" s="634"/>
      <c r="AG172" s="678"/>
      <c r="AH172" s="634"/>
      <c r="AI172" s="721"/>
      <c r="AJ172" s="721"/>
      <c r="AK172" s="249" t="s">
        <v>119</v>
      </c>
    </row>
    <row r="173" spans="1:80" s="134" customFormat="1" ht="282" customHeight="1" x14ac:dyDescent="0.2">
      <c r="A173" s="682"/>
      <c r="B173" s="809"/>
      <c r="C173" s="812"/>
      <c r="D173" s="790"/>
      <c r="E173" s="658">
        <v>86</v>
      </c>
      <c r="F173" s="575" t="s">
        <v>879</v>
      </c>
      <c r="G173" s="653" t="s">
        <v>880</v>
      </c>
      <c r="H173" s="653" t="s">
        <v>881</v>
      </c>
      <c r="I173" s="871" t="s">
        <v>392</v>
      </c>
      <c r="J173" s="592" t="s">
        <v>109</v>
      </c>
      <c r="K173" s="594" t="s">
        <v>199</v>
      </c>
      <c r="L173" s="605">
        <v>1456</v>
      </c>
      <c r="M173" s="565" t="str">
        <f t="shared" si="80"/>
        <v>Alta</v>
      </c>
      <c r="N173" s="567">
        <f t="shared" si="81"/>
        <v>0.8</v>
      </c>
      <c r="O173" s="567" t="s">
        <v>85</v>
      </c>
      <c r="P173" s="565" t="s">
        <v>68</v>
      </c>
      <c r="Q173" s="567">
        <f t="shared" si="82"/>
        <v>0.6</v>
      </c>
      <c r="R173" s="569" t="str">
        <f t="shared" si="83"/>
        <v>Alto</v>
      </c>
      <c r="S173" s="319">
        <v>1</v>
      </c>
      <c r="T173" s="377" t="s">
        <v>882</v>
      </c>
      <c r="U173" s="140" t="s">
        <v>2</v>
      </c>
      <c r="V173" s="248" t="s">
        <v>12</v>
      </c>
      <c r="W173" s="321" t="s">
        <v>7</v>
      </c>
      <c r="X173" s="325">
        <v>0.4</v>
      </c>
      <c r="Y173" s="311" t="s">
        <v>17</v>
      </c>
      <c r="Z173" s="320" t="s">
        <v>20</v>
      </c>
      <c r="AA173" s="248" t="s">
        <v>105</v>
      </c>
      <c r="AB173" s="210"/>
      <c r="AC173" s="332" t="s">
        <v>385</v>
      </c>
      <c r="AD173" s="141">
        <f>IFERROR(IF(U173="Probabilidad",(N173-(+N173*X173)),IF(U173="Impacto",N173,"")),"")</f>
        <v>0.48</v>
      </c>
      <c r="AE173" s="203" t="str">
        <f t="shared" si="71"/>
        <v>Media</v>
      </c>
      <c r="AF173" s="323">
        <f t="shared" si="72"/>
        <v>0.48</v>
      </c>
      <c r="AG173" s="143" t="s">
        <v>68</v>
      </c>
      <c r="AH173" s="139">
        <f>IFERROR(IF(U173="Impacto",(Q173-(+Q173*X173)),IF(U173="Probabilidad",Q173,"")),"")</f>
        <v>0.6</v>
      </c>
      <c r="AI173" s="351" t="str">
        <f t="shared" si="63"/>
        <v>Moderado</v>
      </c>
      <c r="AJ173" s="351" t="str">
        <f>$AI$175</f>
        <v>Moderado</v>
      </c>
      <c r="AK173" s="249"/>
      <c r="AL173" s="234"/>
      <c r="AM173" s="234"/>
      <c r="AN173" s="234"/>
      <c r="AO173" s="234"/>
      <c r="AP173" s="234"/>
      <c r="AQ173" s="234"/>
      <c r="AR173" s="234"/>
      <c r="AS173" s="234"/>
      <c r="AT173" s="234"/>
      <c r="AU173" s="234"/>
      <c r="AV173" s="234"/>
      <c r="AW173" s="234"/>
      <c r="AX173" s="234"/>
      <c r="AY173" s="234"/>
      <c r="AZ173" s="234"/>
      <c r="BA173" s="234"/>
      <c r="BB173" s="234"/>
      <c r="BC173" s="234"/>
      <c r="BD173" s="234"/>
      <c r="BE173" s="234"/>
      <c r="BF173" s="234"/>
      <c r="BG173" s="234"/>
      <c r="BH173" s="234"/>
      <c r="BI173" s="234"/>
      <c r="BJ173" s="234"/>
      <c r="BK173" s="234"/>
      <c r="BL173" s="234"/>
      <c r="BM173" s="234"/>
      <c r="BN173" s="234"/>
      <c r="BO173" s="234"/>
      <c r="BP173" s="234"/>
      <c r="BQ173" s="234"/>
      <c r="BR173" s="234"/>
      <c r="BS173" s="234"/>
      <c r="BT173" s="234"/>
      <c r="BU173" s="234"/>
      <c r="BV173" s="234"/>
      <c r="BW173" s="234"/>
      <c r="BX173" s="234"/>
      <c r="BY173" s="234"/>
      <c r="BZ173" s="234"/>
      <c r="CA173" s="234"/>
      <c r="CB173" s="234"/>
    </row>
    <row r="174" spans="1:80" s="134" customFormat="1" ht="250.5" customHeight="1" x14ac:dyDescent="0.2">
      <c r="A174" s="682"/>
      <c r="B174" s="809"/>
      <c r="C174" s="812"/>
      <c r="D174" s="790"/>
      <c r="E174" s="659"/>
      <c r="F174" s="576"/>
      <c r="G174" s="654"/>
      <c r="H174" s="654"/>
      <c r="I174" s="872"/>
      <c r="J174" s="655"/>
      <c r="K174" s="595"/>
      <c r="L174" s="606"/>
      <c r="M174" s="566"/>
      <c r="N174" s="568"/>
      <c r="O174" s="568"/>
      <c r="P174" s="566"/>
      <c r="Q174" s="568"/>
      <c r="R174" s="564"/>
      <c r="S174" s="319">
        <v>2</v>
      </c>
      <c r="T174" s="267" t="s">
        <v>883</v>
      </c>
      <c r="U174" s="140" t="s">
        <v>2</v>
      </c>
      <c r="V174" s="248" t="s">
        <v>12</v>
      </c>
      <c r="W174" s="248" t="s">
        <v>7</v>
      </c>
      <c r="X174" s="325">
        <v>0.4</v>
      </c>
      <c r="Y174" s="248" t="s">
        <v>17</v>
      </c>
      <c r="Z174" s="248" t="s">
        <v>20</v>
      </c>
      <c r="AA174" s="248" t="s">
        <v>105</v>
      </c>
      <c r="AB174" s="210"/>
      <c r="AC174" s="332" t="s">
        <v>884</v>
      </c>
      <c r="AD174" s="141">
        <v>0.48</v>
      </c>
      <c r="AE174" s="143" t="str">
        <f t="shared" si="71"/>
        <v>Media</v>
      </c>
      <c r="AF174" s="323">
        <f t="shared" si="72"/>
        <v>0.48</v>
      </c>
      <c r="AG174" s="143" t="s">
        <v>68</v>
      </c>
      <c r="AH174" s="139">
        <f>IFERROR(IF(U174="Impacto",(Q174-(+Q174*X174)),IF(U174="Probabilidad",Q174,"")),"")</f>
        <v>0</v>
      </c>
      <c r="AI174" s="213" t="str">
        <f t="shared" si="63"/>
        <v>Moderado</v>
      </c>
      <c r="AJ174" s="213" t="str">
        <f>$AI$175</f>
        <v>Moderado</v>
      </c>
      <c r="AK174" s="249"/>
      <c r="AL174" s="234"/>
      <c r="AM174" s="234"/>
      <c r="AN174" s="234"/>
      <c r="AO174" s="234"/>
      <c r="AP174" s="234"/>
      <c r="AQ174" s="234"/>
      <c r="AR174" s="234"/>
      <c r="AS174" s="234"/>
      <c r="AT174" s="234"/>
      <c r="AU174" s="234"/>
      <c r="AV174" s="234"/>
      <c r="AW174" s="234"/>
      <c r="AX174" s="234"/>
      <c r="AY174" s="234"/>
      <c r="AZ174" s="234"/>
      <c r="BA174" s="234"/>
      <c r="BB174" s="234"/>
      <c r="BC174" s="234"/>
      <c r="BD174" s="234"/>
      <c r="BE174" s="234"/>
      <c r="BF174" s="234"/>
      <c r="BG174" s="234"/>
      <c r="BH174" s="234"/>
      <c r="BI174" s="234"/>
      <c r="BJ174" s="234"/>
      <c r="BK174" s="234"/>
      <c r="BL174" s="234"/>
      <c r="BM174" s="234"/>
      <c r="BN174" s="234"/>
      <c r="BO174" s="234"/>
      <c r="BP174" s="234"/>
      <c r="BQ174" s="234"/>
      <c r="BR174" s="234"/>
      <c r="BS174" s="234"/>
      <c r="BT174" s="234"/>
      <c r="BU174" s="234"/>
      <c r="BV174" s="234"/>
      <c r="BW174" s="234"/>
      <c r="BX174" s="234"/>
      <c r="BY174" s="234"/>
      <c r="BZ174" s="234"/>
      <c r="CA174" s="234"/>
      <c r="CB174" s="234"/>
    </row>
    <row r="175" spans="1:80" ht="308.25" customHeight="1" x14ac:dyDescent="0.2">
      <c r="A175" s="682"/>
      <c r="B175" s="810"/>
      <c r="C175" s="812"/>
      <c r="D175" s="790"/>
      <c r="E175" s="201">
        <v>87</v>
      </c>
      <c r="F175" s="364" t="s">
        <v>874</v>
      </c>
      <c r="G175" s="267" t="s">
        <v>875</v>
      </c>
      <c r="H175" s="263" t="s">
        <v>876</v>
      </c>
      <c r="I175" s="263" t="s">
        <v>412</v>
      </c>
      <c r="J175" s="364" t="s">
        <v>114</v>
      </c>
      <c r="K175" s="219" t="s">
        <v>199</v>
      </c>
      <c r="L175" s="216">
        <v>1576</v>
      </c>
      <c r="M175" s="217" t="str">
        <f>IF(L175&lt;=0,"",IF(L175&lt;=2,"Muy Baja",IF(L175&lt;=24,"Baja",IF(L175&lt;=500,"Media",IF(L175&lt;=5000,"Alta","Muy Alta")))))</f>
        <v>Alta</v>
      </c>
      <c r="N175" s="214">
        <f>IF(M175="","",IF(M175="Muy Baja",0.2,IF(M175="Baja",0.4,IF(M175="Media",0.6,IF(M175="Alta",0.8,IF(M175="Muy Alta",1,))))))</f>
        <v>0.8</v>
      </c>
      <c r="O175" s="392" t="s">
        <v>132</v>
      </c>
      <c r="P175" s="217" t="str">
        <f>IF(OR(O175='6.Tabla Impacto'!$C$11,O175='6.Tabla Impacto'!$D$11),"Leve",IF(OR(O175='6.Tabla Impacto'!$C$12,O175='6.Tabla Impacto'!$D$12),"Menor",IF(OR(O175='6.Tabla Impacto'!$C$13,O175='6.Tabla Impacto'!$D$13),"Moderado",IF(OR(O175='6.Tabla Impacto'!$C$14,O175:O175='6.Tabla Impacto'!$D$14),"Mayor",IF(OR(O175='6.Tabla Impacto'!$C$15,O175='6.Tabla Impacto'!$D$15),"Catastrófico","")))))</f>
        <v>Moderado</v>
      </c>
      <c r="Q175" s="214">
        <f>IF(P175="","",IF(P175="Leve",0.2,IF(P175="Menor",0.4,IF(P175="Moderado",0.6,IF(P175="Mayor",0.8,IF(P175="Catastrófico",1,))))))</f>
        <v>0.6</v>
      </c>
      <c r="R175" s="215" t="str">
        <f>IF(OR(AND(M175="Muy Baja",P175="Leve"),AND(M175="Muy Baja",P175="Menor"),AND(M175="Baja",P175="Leve")),"Bajo",IF(OR(AND(M175="Muy baja",P175="Moderado"),AND(M175="Baja",P175="Menor"),AND(M175="Baja",P175="Moderado"),AND(M175="Media",P175="Leve"),AND(M175="Media",P175="Menor"),AND(M175="Media",P175="Moderado"),AND(M175="Alta",P175="Leve"),AND(M175="Alta",P175="Menor")),"Moderado",IF(OR(AND(M175="Muy Baja",P175="Mayor"),AND(M175="Baja",P175="Mayor"),AND(M175="Media",P175="Mayor"),AND(M175="Alta",P175="Moderado"),AND(M175="Alta",P175="Mayor"),AND(M175="Muy Alta",P175="Leve"),AND(M175="Muy Alta",P175="Menor"),AND(M175="Muy Alta",P175="Moderado"),AND(M175="Muy Alta",P175="Mayor")),"Alto",IF(OR(AND(M175="Muy Baja",P175="Catastrófico"),AND(M175="Baja",P175="Catastrófico"),AND(M175="Media",P175="Catastrófico"),AND(M175="Alta",P175="Catastrófico"),AND(M175="Muy Alta",P175="Catastrófico")),"Extremo",""))))</f>
        <v>Alto</v>
      </c>
      <c r="S175" s="319">
        <v>1</v>
      </c>
      <c r="T175" s="332" t="s">
        <v>877</v>
      </c>
      <c r="U175" s="315" t="str">
        <f>IF(OR(V175="Preventivo",V175="Detectivo"),"Probabilidad",IF(V175="Correctivo","Impacto",""))</f>
        <v>Probabilidad</v>
      </c>
      <c r="V175" s="322" t="s">
        <v>12</v>
      </c>
      <c r="W175" s="322" t="s">
        <v>7</v>
      </c>
      <c r="X175" s="325" t="str">
        <f t="shared" si="60"/>
        <v>40%</v>
      </c>
      <c r="Y175" s="338" t="s">
        <v>17</v>
      </c>
      <c r="Z175" s="339" t="s">
        <v>20</v>
      </c>
      <c r="AA175" s="136" t="s">
        <v>105</v>
      </c>
      <c r="AB175" s="210"/>
      <c r="AC175" s="332" t="s">
        <v>878</v>
      </c>
      <c r="AD175" s="285">
        <f>IFERROR(IF(U175="Probabilidad",(N175-(+N175*X175)),IF(U175="Impacto",N175,"")),"")</f>
        <v>0.48</v>
      </c>
      <c r="AE175" s="143" t="str">
        <f t="shared" si="71"/>
        <v>Media</v>
      </c>
      <c r="AF175" s="325">
        <f t="shared" si="72"/>
        <v>0.48</v>
      </c>
      <c r="AG175" s="343" t="str">
        <f t="shared" ref="AG175:AG182" si="84">IFERROR(IF(AH175="","",IF(AH175&lt;=0.2,"Leve",IF(AH175&lt;=0.4,"Menor",IF(AH175&lt;=0.6,"Moderado",IF(AH175&lt;=0.8,"Mayor","Catastrófico"))))),"")</f>
        <v>Moderado</v>
      </c>
      <c r="AH175" s="325">
        <f>IFERROR(IF(U175="Impacto",(Q175-(+Q175*X175)),IF(U175="Probabilidad",Q175,"")),"")</f>
        <v>0.6</v>
      </c>
      <c r="AI175" s="352" t="str">
        <f t="shared" si="63"/>
        <v>Moderado</v>
      </c>
      <c r="AJ175" s="172" t="str">
        <f>$AI$175</f>
        <v>Moderado</v>
      </c>
      <c r="AK175" s="249" t="s">
        <v>119</v>
      </c>
    </row>
    <row r="176" spans="1:80" s="134" customFormat="1" ht="182.25" customHeight="1" x14ac:dyDescent="0.2">
      <c r="A176" s="682"/>
      <c r="B176" s="276"/>
      <c r="C176" s="812"/>
      <c r="D176" s="790"/>
      <c r="E176" s="658">
        <v>88</v>
      </c>
      <c r="F176" s="575" t="s">
        <v>885</v>
      </c>
      <c r="G176" s="653" t="s">
        <v>886</v>
      </c>
      <c r="H176" s="653" t="s">
        <v>887</v>
      </c>
      <c r="I176" s="653" t="s">
        <v>412</v>
      </c>
      <c r="J176" s="592" t="s">
        <v>114</v>
      </c>
      <c r="K176" s="594" t="s">
        <v>199</v>
      </c>
      <c r="L176" s="605">
        <v>1576</v>
      </c>
      <c r="M176" s="565" t="str">
        <f>IF(L176&lt;=0,"",IF(L176&lt;=2,"Muy Baja",IF(L176&lt;=24,"Baja",IF(L176&lt;=500,"Media",IF(L176&lt;=5000,"Alta","Muy Alta")))))</f>
        <v>Alta</v>
      </c>
      <c r="N176" s="567">
        <f>IF(M176="","",IF(M176="Muy Baja",0.2,IF(M176="Baja",0.4,IF(M176="Media",0.6,IF(M176="Alta",0.8,IF(M176="Muy Alta",1,))))))</f>
        <v>0.8</v>
      </c>
      <c r="O176" s="581" t="s">
        <v>132</v>
      </c>
      <c r="P176" s="565" t="str">
        <f>IF(OR(O176='6.Tabla Impacto'!$C$11,O176='6.Tabla Impacto'!$D$11),"Leve",IF(OR(O176='6.Tabla Impacto'!$C$12,O176='6.Tabla Impacto'!$D$12),"Menor",IF(OR(O176='6.Tabla Impacto'!$C$13,O176='6.Tabla Impacto'!$D$13),"Moderado",IF(OR(O176='6.Tabla Impacto'!$C$14,O176:O176='6.Tabla Impacto'!$D$14),"Mayor",IF(OR(O176='6.Tabla Impacto'!$C$15,O176='6.Tabla Impacto'!$D$15),"Catastrófico","")))))</f>
        <v>Moderado</v>
      </c>
      <c r="Q176" s="567">
        <f>IF(P176="","",IF(P176="Leve",0.2,IF(P176="Menor",0.4,IF(P176="Moderado",0.6,IF(P176="Mayor",0.8,IF(P176="Catastrófico",1,))))))</f>
        <v>0.6</v>
      </c>
      <c r="R176" s="562" t="str">
        <f>IF(OR(AND(M176="Muy Baja",P176="Leve"),AND(M176="Muy Baja",P176="Menor"),AND(M176="Baja",P176="Leve")),"Bajo",IF(OR(AND(M176="Muy baja",P176="Moderado"),AND(M176="Baja",P176="Menor"),AND(M176="Baja",P176="Moderado"),AND(M176="Media",P176="Leve"),AND(M176="Media",P176="Menor"),AND(M176="Media",P176="Moderado"),AND(M176="Alta",P176="Leve"),AND(M176="Alta",P176="Menor")),"Moderado",IF(OR(AND(M176="Muy Baja",P176="Mayor"),AND(M176="Baja",P176="Mayor"),AND(M176="Media",P176="Mayor"),AND(M176="Alta",P176="Moderado"),AND(M176="Alta",P176="Mayor"),AND(M176="Muy Alta",P176="Leve"),AND(M176="Muy Alta",P176="Menor"),AND(M176="Muy Alta",P176="Moderado"),AND(M176="Muy Alta",P176="Mayor")),"Alto",IF(OR(AND(M176="Muy Baja",P176="Catastrófico"),AND(M176="Baja",P176="Catastrófico"),AND(M176="Media",P176="Catastrófico"),AND(M176="Alta",P176="Catastrófico"),AND(M176="Muy Alta",P176="Catastrófico")),"Extremo",""))))</f>
        <v>Alto</v>
      </c>
      <c r="S176" s="319">
        <v>1</v>
      </c>
      <c r="T176" s="393" t="s">
        <v>888</v>
      </c>
      <c r="U176" s="315" t="s">
        <v>2</v>
      </c>
      <c r="V176" s="322" t="s">
        <v>12</v>
      </c>
      <c r="W176" s="322" t="s">
        <v>7</v>
      </c>
      <c r="X176" s="325" t="str">
        <f t="shared" si="60"/>
        <v>40%</v>
      </c>
      <c r="Y176" s="338" t="s">
        <v>17</v>
      </c>
      <c r="Z176" s="339" t="s">
        <v>20</v>
      </c>
      <c r="AA176" s="136" t="s">
        <v>105</v>
      </c>
      <c r="AB176" s="210"/>
      <c r="AC176" s="332" t="s">
        <v>890</v>
      </c>
      <c r="AD176" s="188">
        <f>IFERROR(IF(U176="Probabilidad",(N176-(+N176*X176)),IF(U176="Impacto",N176,"")),"")</f>
        <v>0.48</v>
      </c>
      <c r="AE176" s="138" t="str">
        <f t="shared" si="71"/>
        <v>Media</v>
      </c>
      <c r="AF176" s="325">
        <f t="shared" si="72"/>
        <v>0.48</v>
      </c>
      <c r="AG176" s="343" t="str">
        <f t="shared" si="84"/>
        <v>Moderado</v>
      </c>
      <c r="AH176" s="325">
        <f>IFERROR(IF(U176="Impacto",(Q176-(+Q176*X176)),IF(U176="Probabilidad",Q176,"")),"")</f>
        <v>0.6</v>
      </c>
      <c r="AI176" s="352" t="str">
        <f t="shared" si="63"/>
        <v>Moderado</v>
      </c>
      <c r="AJ176" s="172" t="str">
        <f>$AI$175</f>
        <v>Moderado</v>
      </c>
      <c r="AK176" s="249" t="s">
        <v>119</v>
      </c>
      <c r="AL176" s="234"/>
      <c r="AM176" s="234"/>
      <c r="AN176" s="234"/>
      <c r="AO176" s="234"/>
      <c r="AP176" s="234"/>
      <c r="AQ176" s="234"/>
      <c r="AR176" s="234"/>
      <c r="AS176" s="234"/>
      <c r="AT176" s="234"/>
      <c r="AU176" s="234"/>
      <c r="AV176" s="234"/>
      <c r="AW176" s="234"/>
      <c r="AX176" s="234"/>
      <c r="AY176" s="234"/>
      <c r="AZ176" s="234"/>
      <c r="BA176" s="234"/>
      <c r="BB176" s="234"/>
      <c r="BC176" s="234"/>
      <c r="BD176" s="234"/>
      <c r="BE176" s="234"/>
      <c r="BF176" s="234"/>
      <c r="BG176" s="234"/>
      <c r="BH176" s="234"/>
      <c r="BI176" s="234"/>
      <c r="BJ176" s="234"/>
      <c r="BK176" s="234"/>
      <c r="BL176" s="234"/>
      <c r="BM176" s="234"/>
      <c r="BN176" s="234"/>
      <c r="BO176" s="234"/>
      <c r="BP176" s="234"/>
      <c r="BQ176" s="234"/>
      <c r="BR176" s="234"/>
      <c r="BS176" s="234"/>
      <c r="BT176" s="234"/>
      <c r="BU176" s="234"/>
      <c r="BV176" s="234"/>
      <c r="BW176" s="234"/>
      <c r="BX176" s="234"/>
      <c r="BY176" s="234"/>
      <c r="BZ176" s="234"/>
      <c r="CA176" s="234"/>
      <c r="CB176" s="234"/>
    </row>
    <row r="177" spans="1:80" s="134" customFormat="1" ht="218.25" customHeight="1" x14ac:dyDescent="0.2">
      <c r="A177" s="682"/>
      <c r="B177" s="276"/>
      <c r="C177" s="813"/>
      <c r="D177" s="791"/>
      <c r="E177" s="659"/>
      <c r="F177" s="742"/>
      <c r="G177" s="661"/>
      <c r="H177" s="661"/>
      <c r="I177" s="654"/>
      <c r="J177" s="655"/>
      <c r="K177" s="595"/>
      <c r="L177" s="606"/>
      <c r="M177" s="566"/>
      <c r="N177" s="568"/>
      <c r="O177" s="583"/>
      <c r="P177" s="566"/>
      <c r="Q177" s="568"/>
      <c r="R177" s="564"/>
      <c r="S177" s="319">
        <v>2</v>
      </c>
      <c r="T177" s="364" t="s">
        <v>889</v>
      </c>
      <c r="U177" s="315" t="s">
        <v>2</v>
      </c>
      <c r="V177" s="322" t="s">
        <v>12</v>
      </c>
      <c r="W177" s="322" t="s">
        <v>7</v>
      </c>
      <c r="X177" s="325" t="str">
        <f t="shared" si="60"/>
        <v>40%</v>
      </c>
      <c r="Y177" s="338" t="s">
        <v>17</v>
      </c>
      <c r="Z177" s="339" t="s">
        <v>20</v>
      </c>
      <c r="AA177" s="136" t="s">
        <v>105</v>
      </c>
      <c r="AB177" s="210"/>
      <c r="AC177" s="332" t="s">
        <v>890</v>
      </c>
      <c r="AD177" s="188">
        <v>0.48</v>
      </c>
      <c r="AE177" s="138" t="str">
        <f t="shared" si="71"/>
        <v>Media</v>
      </c>
      <c r="AF177" s="325">
        <f t="shared" si="72"/>
        <v>0.48</v>
      </c>
      <c r="AG177" s="343" t="str">
        <f t="shared" si="84"/>
        <v>Moderado</v>
      </c>
      <c r="AH177" s="325">
        <v>0.6</v>
      </c>
      <c r="AI177" s="352" t="str">
        <f t="shared" si="63"/>
        <v>Moderado</v>
      </c>
      <c r="AJ177" s="172" t="str">
        <f>$AI$175</f>
        <v>Moderado</v>
      </c>
      <c r="AK177" s="249"/>
      <c r="AL177" s="234"/>
      <c r="AM177" s="234"/>
      <c r="AN177" s="234"/>
      <c r="AO177" s="234"/>
      <c r="AP177" s="234"/>
      <c r="AQ177" s="234"/>
      <c r="AR177" s="234"/>
      <c r="AS177" s="234"/>
      <c r="AT177" s="234"/>
      <c r="AU177" s="234"/>
      <c r="AV177" s="234"/>
      <c r="AW177" s="234"/>
      <c r="AX177" s="234"/>
      <c r="AY177" s="234"/>
      <c r="AZ177" s="234"/>
      <c r="BA177" s="234"/>
      <c r="BB177" s="234"/>
      <c r="BC177" s="234"/>
      <c r="BD177" s="234"/>
      <c r="BE177" s="234"/>
      <c r="BF177" s="234"/>
      <c r="BG177" s="234"/>
      <c r="BH177" s="234"/>
      <c r="BI177" s="234"/>
      <c r="BJ177" s="234"/>
      <c r="BK177" s="234"/>
      <c r="BL177" s="234"/>
      <c r="BM177" s="234"/>
      <c r="BN177" s="234"/>
      <c r="BO177" s="234"/>
      <c r="BP177" s="234"/>
      <c r="BQ177" s="234"/>
      <c r="BR177" s="234"/>
      <c r="BS177" s="234"/>
      <c r="BT177" s="234"/>
      <c r="BU177" s="234"/>
      <c r="BV177" s="234"/>
      <c r="BW177" s="234"/>
      <c r="BX177" s="234"/>
      <c r="BY177" s="234"/>
      <c r="BZ177" s="234"/>
      <c r="CA177" s="234"/>
      <c r="CB177" s="234"/>
    </row>
    <row r="178" spans="1:80" ht="189.75" customHeight="1" x14ac:dyDescent="0.2">
      <c r="A178" s="682"/>
      <c r="B178" s="808">
        <v>21</v>
      </c>
      <c r="C178" s="638" t="s">
        <v>335</v>
      </c>
      <c r="D178" s="687" t="s">
        <v>203</v>
      </c>
      <c r="E178" s="658">
        <v>89</v>
      </c>
      <c r="F178" s="575" t="s">
        <v>949</v>
      </c>
      <c r="G178" s="653" t="s">
        <v>333</v>
      </c>
      <c r="H178" s="653" t="s">
        <v>334</v>
      </c>
      <c r="I178" s="594" t="s">
        <v>197</v>
      </c>
      <c r="J178" s="592" t="s">
        <v>114</v>
      </c>
      <c r="K178" s="594" t="s">
        <v>199</v>
      </c>
      <c r="L178" s="605">
        <v>24</v>
      </c>
      <c r="M178" s="565" t="str">
        <f>IF(L178&lt;=0,"",IF(L178&lt;=2,"Muy Baja",IF(L178&lt;=24,"Baja",IF(L178&lt;=500,"Media",IF(L178&lt;=5000,"Alta","Muy Alta")))))</f>
        <v>Baja</v>
      </c>
      <c r="N178" s="567">
        <f>IF(M178="","",IF(M178="Muy Baja",0.2,IF(M178="Baja",0.4,IF(M178="Media",0.6,IF(M178="Alta",0.8,IF(M178="Muy Alta",1,))))))</f>
        <v>0.4</v>
      </c>
      <c r="O178" s="567" t="s">
        <v>131</v>
      </c>
      <c r="P178" s="565" t="str">
        <f>IF(OR(O178='6.Tabla Impacto'!$C$11,O178='6.Tabla Impacto'!$D$11),"Leve",IF(OR(O178='6.Tabla Impacto'!$C$12,O178='6.Tabla Impacto'!$D$12),"Menor",IF(OR(O178='6.Tabla Impacto'!$C$13,O178='6.Tabla Impacto'!$D$13),"Moderado",IF(OR(O178='6.Tabla Impacto'!$C$14,O178:O178='6.Tabla Impacto'!$D$14),"Mayor",IF(OR(O178='6.Tabla Impacto'!$C$15,O178='6.Tabla Impacto'!$D$15),"Catastrófico","")))))</f>
        <v>Menor</v>
      </c>
      <c r="Q178" s="567">
        <f>IF(P178="","",IF(P178="Leve",0.2,IF(P178="Menor",0.4,IF(P178="Moderado",0.6,IF(P178="Mayor",0.8,IF(P178="Catastrófico",1,))))))</f>
        <v>0.4</v>
      </c>
      <c r="R178" s="590" t="str">
        <f>IF(OR(AND(M178="Muy Baja",P178="Leve"),AND(M178="Muy Baja",P178="Menor"),AND(M178="Baja",P178="Leve")),"Bajo",IF(OR(AND(M178="Muy baja",P178="Moderado"),AND(M178="Baja",P178="Menor"),AND(M178="Baja",P178="Moderado"),AND(M178="Media",P178="Leve"),AND(M178="Media",P178="Menor"),AND(M178="Media",P178="Moderado"),AND(M178="Alta",P178="Leve"),AND(M178="Alta",P178="Menor")),"Moderado",IF(OR(AND(M178="Muy Baja",P178="Mayor"),AND(M178="Baja",P178="Mayor"),AND(M178="Media",P178="Mayor"),AND(M178="Alta",P178="Moderado"),AND(M178="Alta",P178="Mayor"),AND(M178="Muy Alta",P178="Leve"),AND(M178="Muy Alta",P178="Menor"),AND(M178="Muy Alta",P178="Moderado"),AND(M178="Muy Alta",P178="Mayor")),"Alto",IF(OR(AND(M178="Muy Baja",P178="Catastrófico"),AND(M178="Baja",P178="Catastrófico"),AND(M178="Media",P178="Catastrófico"),AND(M178="Alta",P178="Catastrófico"),AND(M178="Muy Alta",P178="Catastrófico")),"Extremo",""))))</f>
        <v>Moderado</v>
      </c>
      <c r="S178" s="219">
        <v>1</v>
      </c>
      <c r="T178" s="267" t="s">
        <v>388</v>
      </c>
      <c r="U178" s="148" t="str">
        <f>IF(OR(V178="Preventivo",V178="Detectivo"),"Probabilidad",IF(V178="Correctivo","Impacto",""))</f>
        <v>Probabilidad</v>
      </c>
      <c r="V178" s="149" t="s">
        <v>12</v>
      </c>
      <c r="W178" s="149" t="s">
        <v>7</v>
      </c>
      <c r="X178" s="150" t="str">
        <f t="shared" si="60"/>
        <v>40%</v>
      </c>
      <c r="Y178" s="151" t="s">
        <v>17</v>
      </c>
      <c r="Z178" s="152" t="s">
        <v>20</v>
      </c>
      <c r="AA178" s="153" t="s">
        <v>105</v>
      </c>
      <c r="AB178" s="245"/>
      <c r="AC178" s="332" t="s">
        <v>642</v>
      </c>
      <c r="AD178" s="137">
        <f>IFERROR(IF(U178="Probabilidad",(N178-(+N178*X178)),IF(U178="Impacto",N178,"")),"")</f>
        <v>0.24</v>
      </c>
      <c r="AE178" s="147" t="str">
        <f t="shared" si="71"/>
        <v>Baja</v>
      </c>
      <c r="AF178" s="139">
        <f t="shared" si="72"/>
        <v>0.24</v>
      </c>
      <c r="AG178" s="143" t="str">
        <f t="shared" si="84"/>
        <v>Menor</v>
      </c>
      <c r="AH178" s="139">
        <f>IFERROR(IF(U178="Impacto",(Q178-(+Q178*X178)),IF(U178="Probabilidad",Q178,"")),"")</f>
        <v>0.4</v>
      </c>
      <c r="AI178" s="213" t="str">
        <f t="shared" si="63"/>
        <v>Moderado</v>
      </c>
      <c r="AJ178" s="173" t="str">
        <f>$AI$178</f>
        <v>Moderado</v>
      </c>
      <c r="AK178" s="249" t="s">
        <v>119</v>
      </c>
    </row>
    <row r="179" spans="1:80" ht="165" customHeight="1" x14ac:dyDescent="0.2">
      <c r="A179" s="682"/>
      <c r="B179" s="809"/>
      <c r="C179" s="638"/>
      <c r="D179" s="688"/>
      <c r="E179" s="659"/>
      <c r="F179" s="576"/>
      <c r="G179" s="654"/>
      <c r="H179" s="654"/>
      <c r="I179" s="595"/>
      <c r="J179" s="593"/>
      <c r="K179" s="595"/>
      <c r="L179" s="606"/>
      <c r="M179" s="566"/>
      <c r="N179" s="568"/>
      <c r="O179" s="568"/>
      <c r="P179" s="566"/>
      <c r="Q179" s="568"/>
      <c r="R179" s="591"/>
      <c r="S179" s="169">
        <v>2</v>
      </c>
      <c r="T179" s="267" t="s">
        <v>386</v>
      </c>
      <c r="U179" s="154" t="str">
        <f>IF(OR(V179="Preventivo",V179="Detectivo"),"Probabilidad",IF(V179="Correctivo","Impacto",""))</f>
        <v>Probabilidad</v>
      </c>
      <c r="V179" s="228" t="s">
        <v>12</v>
      </c>
      <c r="W179" s="149" t="s">
        <v>7</v>
      </c>
      <c r="X179" s="150" t="str">
        <f t="shared" si="60"/>
        <v>40%</v>
      </c>
      <c r="Y179" s="151" t="s">
        <v>17</v>
      </c>
      <c r="Z179" s="152" t="s">
        <v>20</v>
      </c>
      <c r="AA179" s="153" t="s">
        <v>105</v>
      </c>
      <c r="AB179" s="245"/>
      <c r="AC179" s="332" t="s">
        <v>551</v>
      </c>
      <c r="AD179" s="188">
        <v>0.24</v>
      </c>
      <c r="AE179" s="147" t="str">
        <f t="shared" si="71"/>
        <v>Baja</v>
      </c>
      <c r="AF179" s="139">
        <f t="shared" si="72"/>
        <v>0.24</v>
      </c>
      <c r="AG179" s="143" t="str">
        <f t="shared" si="84"/>
        <v>Menor</v>
      </c>
      <c r="AH179" s="139">
        <v>0.4</v>
      </c>
      <c r="AI179" s="213" t="str">
        <f t="shared" si="63"/>
        <v>Moderado</v>
      </c>
      <c r="AJ179" s="173" t="str">
        <f>$AI$179</f>
        <v>Moderado</v>
      </c>
      <c r="AK179" s="249" t="s">
        <v>119</v>
      </c>
    </row>
    <row r="180" spans="1:80" ht="120" customHeight="1" x14ac:dyDescent="0.2">
      <c r="A180" s="682"/>
      <c r="B180" s="809"/>
      <c r="C180" s="638"/>
      <c r="D180" s="688"/>
      <c r="E180" s="658">
        <v>90</v>
      </c>
      <c r="F180" s="575" t="s">
        <v>950</v>
      </c>
      <c r="G180" s="653" t="s">
        <v>336</v>
      </c>
      <c r="H180" s="653" t="s">
        <v>337</v>
      </c>
      <c r="I180" s="594" t="s">
        <v>197</v>
      </c>
      <c r="J180" s="686" t="s">
        <v>114</v>
      </c>
      <c r="K180" s="594" t="s">
        <v>199</v>
      </c>
      <c r="L180" s="605">
        <v>400</v>
      </c>
      <c r="M180" s="565" t="str">
        <f>IF(L180&lt;=0,"",IF(L180&lt;=2,"Muy Baja",IF(L180&lt;=24,"Baja",IF(L180&lt;=500,"Media",IF(L180&lt;=5000,"Alta","Muy Alta")))))</f>
        <v>Media</v>
      </c>
      <c r="N180" s="567">
        <f>IF(M180="","",IF(M180="Muy Baja",0.2,IF(M180="Baja",0.4,IF(M180="Media",0.6,IF(M180="Alta",0.8,IF(M180="Muy Alta",1,))))))</f>
        <v>0.6</v>
      </c>
      <c r="O180" s="567" t="s">
        <v>132</v>
      </c>
      <c r="P180" s="565" t="str">
        <f>IF(OR(O180='6.Tabla Impacto'!$C$11,O180='6.Tabla Impacto'!$D$11),"Leve",IF(OR(O180='6.Tabla Impacto'!$C$12,O180='6.Tabla Impacto'!$D$12),"Menor",IF(OR(O180='6.Tabla Impacto'!$C$13,O180='6.Tabla Impacto'!$D$13),"Moderado",IF(OR(O180='6.Tabla Impacto'!$C$14,O180:O180='6.Tabla Impacto'!$D$14),"Mayor",IF(OR(O180='6.Tabla Impacto'!$C$15,O180='6.Tabla Impacto'!$D$15),"Catastrófico","")))))</f>
        <v>Moderado</v>
      </c>
      <c r="Q180" s="567">
        <f>IF(P180="","",IF(P180="Leve",0.2,IF(P180="Menor",0.4,IF(P180="Moderado",0.6,IF(P180="Mayor",0.8,IF(P180="Catastrófico",1,))))))</f>
        <v>0.6</v>
      </c>
      <c r="R180" s="562" t="str">
        <f>IF(OR(AND(M180="Muy Baja",P180="Leve"),AND(M180="Muy Baja",P180="Menor"),AND(M180="Baja",P180="Leve")),"Bajo",IF(OR(AND(M180="Muy baja",P180="Moderado"),AND(M180="Baja",P180="Menor"),AND(M180="Baja",P180="Moderado"),AND(M180="Media",P180="Leve"),AND(M180="Media",P180="Menor"),AND(M180="Media",P180="Moderado"),AND(M180="Alta",P180="Leve"),AND(M180="Alta",P180="Menor")),"Moderado",IF(OR(AND(M180="Muy Baja",P180="Mayor"),AND(M180="Baja",P180="Mayor"),AND(M180="Media",P180="Mayor"),AND(M180="Alta",P180="Moderado"),AND(M180="Alta",P180="Mayor"),AND(M180="Muy Alta",P180="Leve"),AND(M180="Muy Alta",P180="Menor"),AND(M180="Muy Alta",P180="Moderado"),AND(M180="Muy Alta",P180="Mayor")),"Alto",IF(OR(AND(M180="Muy Baja",P180="Catastrófico"),AND(M180="Baja",P180="Catastrófico"),AND(M180="Media",P180="Catastrófico"),AND(M180="Alta",P180="Catastrófico"),AND(M180="Muy Alta",P180="Catastrófico")),"Extremo",""))))</f>
        <v>Moderado</v>
      </c>
      <c r="S180" s="594">
        <v>1</v>
      </c>
      <c r="T180" s="575" t="s">
        <v>387</v>
      </c>
      <c r="U180" s="577" t="str">
        <f>IF(OR(V180="Preventivo",V180="Detectivo"),"Probabilidad",IF(V180="Correctivo","Impacto",""))</f>
        <v>Probabilidad</v>
      </c>
      <c r="V180" s="598" t="s">
        <v>12</v>
      </c>
      <c r="W180" s="598" t="s">
        <v>7</v>
      </c>
      <c r="X180" s="603" t="str">
        <f t="shared" si="60"/>
        <v>40%</v>
      </c>
      <c r="Y180" s="573" t="s">
        <v>17</v>
      </c>
      <c r="Z180" s="596" t="s">
        <v>20</v>
      </c>
      <c r="AA180" s="598" t="s">
        <v>105</v>
      </c>
      <c r="AB180" s="668"/>
      <c r="AC180" s="592" t="s">
        <v>552</v>
      </c>
      <c r="AD180" s="635">
        <v>0.48</v>
      </c>
      <c r="AE180" s="711" t="s">
        <v>93</v>
      </c>
      <c r="AF180" s="603">
        <f t="shared" si="72"/>
        <v>0.48</v>
      </c>
      <c r="AG180" s="677" t="str">
        <f t="shared" si="84"/>
        <v>Moderado</v>
      </c>
      <c r="AH180" s="603">
        <f>IFERROR(IF(U180="Impacto",(Q180-(+Q180*X180)),IF(U180="Probabilidad",Q180,"")),"")</f>
        <v>0.6</v>
      </c>
      <c r="AI180" s="720" t="str">
        <f t="shared" si="63"/>
        <v>Moderado</v>
      </c>
      <c r="AJ180" s="720" t="str">
        <f>$AI$179</f>
        <v>Moderado</v>
      </c>
      <c r="AK180" s="600" t="s">
        <v>119</v>
      </c>
    </row>
    <row r="181" spans="1:80" ht="70.5" customHeight="1" x14ac:dyDescent="0.2">
      <c r="A181" s="683"/>
      <c r="B181" s="810"/>
      <c r="C181" s="638"/>
      <c r="D181" s="689"/>
      <c r="E181" s="659"/>
      <c r="F181" s="576"/>
      <c r="G181" s="654"/>
      <c r="H181" s="654"/>
      <c r="I181" s="595"/>
      <c r="J181" s="593"/>
      <c r="K181" s="595"/>
      <c r="L181" s="606"/>
      <c r="M181" s="566"/>
      <c r="N181" s="568"/>
      <c r="O181" s="568"/>
      <c r="P181" s="566"/>
      <c r="Q181" s="571"/>
      <c r="R181" s="564"/>
      <c r="S181" s="595"/>
      <c r="T181" s="576"/>
      <c r="U181" s="578"/>
      <c r="V181" s="602"/>
      <c r="W181" s="599"/>
      <c r="X181" s="604"/>
      <c r="Y181" s="574"/>
      <c r="Z181" s="597"/>
      <c r="AA181" s="599"/>
      <c r="AB181" s="669"/>
      <c r="AC181" s="655"/>
      <c r="AD181" s="636"/>
      <c r="AE181" s="856"/>
      <c r="AF181" s="634"/>
      <c r="AG181" s="678"/>
      <c r="AH181" s="634"/>
      <c r="AI181" s="721"/>
      <c r="AJ181" s="721"/>
      <c r="AK181" s="601"/>
    </row>
    <row r="182" spans="1:80" ht="134.25" customHeight="1" x14ac:dyDescent="0.2">
      <c r="A182" s="866" t="s">
        <v>534</v>
      </c>
      <c r="B182" s="795">
        <v>22</v>
      </c>
      <c r="C182" s="783" t="s">
        <v>338</v>
      </c>
      <c r="D182" s="687" t="s">
        <v>203</v>
      </c>
      <c r="E182" s="658">
        <v>91</v>
      </c>
      <c r="F182" s="575" t="s">
        <v>698</v>
      </c>
      <c r="G182" s="653" t="s">
        <v>699</v>
      </c>
      <c r="H182" s="653" t="s">
        <v>700</v>
      </c>
      <c r="I182" s="653" t="s">
        <v>393</v>
      </c>
      <c r="J182" s="686" t="s">
        <v>232</v>
      </c>
      <c r="K182" s="594" t="s">
        <v>199</v>
      </c>
      <c r="L182" s="605">
        <v>2</v>
      </c>
      <c r="M182" s="565" t="str">
        <f>IF(L182&lt;=0,"",IF(L182&lt;=2,"Muy Baja",IF(L182&lt;=24,"Baja",IF(L182&lt;=500,"Media",IF(L182&lt;=5000,"Alta","Muy Alta")))))</f>
        <v>Muy Baja</v>
      </c>
      <c r="N182" s="567">
        <f>IF(M182="","",IF(M182="Muy Baja",0.2,IF(M182="Baja",0.4,IF(M182="Media",0.6,IF(M182="Alta",0.8,IF(M182="Muy Alta",1,))))))</f>
        <v>0.2</v>
      </c>
      <c r="O182" s="567" t="s">
        <v>130</v>
      </c>
      <c r="P182" s="565" t="str">
        <f>IF(OR(O182='6.Tabla Impacto'!$C$11,O182='6.Tabla Impacto'!$D$11),"Leve",IF(OR(O182='6.Tabla Impacto'!$C$12,O182='6.Tabla Impacto'!$D$12),"Menor",IF(OR(O182='6.Tabla Impacto'!$C$13,O182='6.Tabla Impacto'!$D$13),"Moderado",IF(OR(O182='6.Tabla Impacto'!$C$14,O182:O182='6.Tabla Impacto'!$D$14),"Mayor",IF(OR(O182='6.Tabla Impacto'!$C$15,O182='6.Tabla Impacto'!$D$15),"Catastrófico","")))))</f>
        <v>Leve</v>
      </c>
      <c r="Q182" s="567">
        <f>IF(P182="","",IF(P182="Leve",0.2,IF(P182="Menor",0.4,IF(P182="Moderado",0.6,IF(P182="Mayor",0.8,IF(P182="Catastrófico",1,))))))</f>
        <v>0.2</v>
      </c>
      <c r="R182" s="607" t="str">
        <f>IF(OR(AND(M182="Muy Baja",P182="Leve"),AND(M182="Muy Baja",P182="Menor"),AND(M182="Baja",P182="Leve")),"Bajo",IF(OR(AND(M182="Muy baja",P182="Moderado"),AND(M182="Baja",P182="Menor"),AND(M182="Baja",P182="Moderado"),AND(M182="Media",P182="Leve"),AND(M182="Media",P182="Menor"),AND(M182="Media",P182="Moderado"),AND(M182="Alta",P182="Leve"),AND(M182="Alta",P182="Menor")),"Moderado",IF(OR(AND(M182="Muy Baja",P182="Mayor"),AND(M182="Baja",P182="Mayor"),AND(M182="Media",P182="Mayor"),AND(M182="Alta",P182="Moderado"),AND(M182="Alta",P182="Mayor"),AND(M182="Muy Alta",P182="Leve"),AND(M182="Muy Alta",P182="Menor"),AND(M182="Muy Alta",P182="Moderado"),AND(M182="Muy Alta",P182="Mayor")),"Alto",IF(OR(AND(M182="Muy Baja",P182="Catastrófico"),AND(M182="Baja",P182="Catastrófico"),AND(M182="Media",P182="Catastrófico"),AND(M182="Alta",P182="Catastrófico"),AND(M182="Muy Alta",P182="Catastrófico")),"Extremo",""))))</f>
        <v>Bajo</v>
      </c>
      <c r="S182" s="168">
        <v>1</v>
      </c>
      <c r="T182" s="267" t="s">
        <v>357</v>
      </c>
      <c r="U182" s="315" t="s">
        <v>2</v>
      </c>
      <c r="V182" s="322" t="s">
        <v>12</v>
      </c>
      <c r="W182" s="149" t="s">
        <v>7</v>
      </c>
      <c r="X182" s="150" t="str">
        <f t="shared" si="60"/>
        <v>40%</v>
      </c>
      <c r="Y182" s="151" t="s">
        <v>17</v>
      </c>
      <c r="Z182" s="152" t="s">
        <v>20</v>
      </c>
      <c r="AA182" s="153" t="s">
        <v>105</v>
      </c>
      <c r="AB182" s="245"/>
      <c r="AC182" s="332" t="s">
        <v>553</v>
      </c>
      <c r="AD182" s="188">
        <f>IFERROR(IF(U182="Probabilidad",(N182-(+N182*X182)),IF(U182="Impacto",N182,"")),"")</f>
        <v>0.12</v>
      </c>
      <c r="AE182" s="147" t="str">
        <f t="shared" si="71"/>
        <v>Muy Baja</v>
      </c>
      <c r="AF182" s="139">
        <f t="shared" si="72"/>
        <v>0.12</v>
      </c>
      <c r="AG182" s="143" t="str">
        <f t="shared" si="84"/>
        <v>Leve</v>
      </c>
      <c r="AH182" s="139">
        <f>IFERROR(IF(U182="Impacto",(Q182-(+Q182*X182)),IF(U182="Probabilidad",Q182,"")),"")</f>
        <v>0.2</v>
      </c>
      <c r="AI182" s="213" t="str">
        <f>IFERROR(IF(OR(AND(AE182="Muy Baja",AG182="Leve"),AND(AE182="Muy Baja",AG182="Menor"),AND(AE182="Baja",AG182="Leve")),"Bajo",IF(OR(AND(AE182="Muy baja",AG182="Moderado"),AND(AE182="Baja",AG182="Menor"),AND(AE182="Baja",AG182="Moderado"),AND(AE182="Media",AG182="Leve"),AND(AE182="Media",AG182="Menor"),AND(AE182="Media",AG182="Moderado"),AND(AE182="Alta",AG182="Leve"),AND(AE182="Alta",AG182="Menor")),"Moderado",IF(OR(AND(AE182="Muy Baja",AG182="Mayor"),AND(AE182="Baja",AG182="Mayor"),AND(AE182="Media",AG182="Mayor"),AND(AE182="Alta",AG182="Moderado"),AND(AE182="Alta",AG182="Mayor"),AND(AE182="Muy Alta",AG182="Leve"),AND(AE182="Muy Alta",AG182="Menor"),AND(AE182="Muy Alta",AG182="Moderado"),AND(AE182="Muy Alta",AG182="Mayor")),"Alto",IF(OR(AND(AE182="Muy Baja",AG182="Catastrófico"),AND(AE182="Baja",AG182="Catastrófico"),AND(AE182="Media",AG182="Catastrófico"),AND(AE182="Alta",AG182="Catastrófico"),AND(AE182="Muy Alta",AG182="Catastrófico")),"Extremo","")))),"")</f>
        <v>Bajo</v>
      </c>
      <c r="AJ182" s="213" t="str">
        <f>$AI$182</f>
        <v>Bajo</v>
      </c>
      <c r="AK182" s="321" t="s">
        <v>27</v>
      </c>
    </row>
    <row r="183" spans="1:80" ht="138" customHeight="1" x14ac:dyDescent="0.2">
      <c r="A183" s="867"/>
      <c r="B183" s="796"/>
      <c r="C183" s="784"/>
      <c r="D183" s="688"/>
      <c r="E183" s="692"/>
      <c r="F183" s="742"/>
      <c r="G183" s="661"/>
      <c r="H183" s="661"/>
      <c r="I183" s="661"/>
      <c r="J183" s="647"/>
      <c r="K183" s="609"/>
      <c r="L183" s="637"/>
      <c r="M183" s="572"/>
      <c r="N183" s="571"/>
      <c r="O183" s="571"/>
      <c r="P183" s="572"/>
      <c r="Q183" s="571"/>
      <c r="R183" s="608"/>
      <c r="S183" s="421">
        <v>2</v>
      </c>
      <c r="T183" s="267" t="s">
        <v>358</v>
      </c>
      <c r="U183" s="148" t="str">
        <f>IF(OR(V183="Preventivo",V183="Detectivo"),"Probabilidad",IF(V183="Correctivo","Impacto",""))</f>
        <v>Probabilidad</v>
      </c>
      <c r="V183" s="149" t="s">
        <v>12</v>
      </c>
      <c r="W183" s="149" t="s">
        <v>7</v>
      </c>
      <c r="X183" s="150" t="str">
        <f t="shared" si="60"/>
        <v>40%</v>
      </c>
      <c r="Y183" s="151" t="s">
        <v>17</v>
      </c>
      <c r="Z183" s="152" t="s">
        <v>20</v>
      </c>
      <c r="AA183" s="153" t="s">
        <v>105</v>
      </c>
      <c r="AB183" s="245"/>
      <c r="AC183" s="332" t="s">
        <v>554</v>
      </c>
      <c r="AD183" s="188">
        <v>0.12</v>
      </c>
      <c r="AE183" s="147" t="str">
        <f t="shared" si="71"/>
        <v>Muy Baja</v>
      </c>
      <c r="AF183" s="139">
        <f t="shared" si="72"/>
        <v>0.12</v>
      </c>
      <c r="AG183" s="143" t="str">
        <f>IFERROR(IF(AH183="","",IF(AH183&lt;=0.2,"Leve",IF(AH183&lt;=0.4,"Menor",IF(AH183&lt;=0.6,"Moderado",IF(AH183&lt;=0.8,"Mayor","Catastrófico"))))),"")</f>
        <v>Moderado</v>
      </c>
      <c r="AH183" s="139">
        <v>0.6</v>
      </c>
      <c r="AI183" s="213" t="str">
        <f>IFERROR(IF(OR(AND(AE183="Muy Baja",AG183="Leve"),AND(AE183="Muy Baja",AG183="Menor"),AND(AE183="Baja",AG183="Leve")),"Bajo",IF(OR(AND(AE183="Muy baja",AG183="Moderado"),AND(AE183="Baja",AG183="Menor"),AND(AE183="Baja",AG183="Moderado"),AND(AE183="Media",AG183="Leve"),AND(AE183="Media",AG183="Menor"),AND(AE183="Media",AG183="Moderado"),AND(AE183="Alta",AG183="Leve"),AND(AE183="Alta",AG183="Menor")),"Moderado",IF(OR(AND(AE183="Muy Baja",AG183="Mayor"),AND(AE183="Baja",AG183="Mayor"),AND(AE183="Media",AG183="Mayor"),AND(AE183="Alta",AG183="Moderado"),AND(AE183="Alta",AG183="Mayor"),AND(AE183="Muy Alta",AG183="Leve"),AND(AE183="Muy Alta",AG183="Menor"),AND(AE183="Muy Alta",AG183="Moderado"),AND(AE183="Muy Alta",AG183="Mayor")),"Alto",IF(OR(AND(AE183="Muy Baja",AG183="Catastrófico"),AND(AE183="Baja",AG183="Catastrófico"),AND(AE183="Media",AG183="Catastrófico"),AND(AE183="Alta",AG183="Catastrófico"),AND(AE183="Muy Alta",AG183="Catastrófico")),"Extremo","")))),"")</f>
        <v>Moderado</v>
      </c>
      <c r="AJ183" s="213" t="str">
        <f>$AI$183</f>
        <v>Moderado</v>
      </c>
      <c r="AK183" s="248" t="s">
        <v>27</v>
      </c>
    </row>
    <row r="184" spans="1:80" s="134" customFormat="1" ht="182.25" customHeight="1" x14ac:dyDescent="0.2">
      <c r="A184" s="868"/>
      <c r="B184" s="797"/>
      <c r="C184" s="784"/>
      <c r="D184" s="688"/>
      <c r="E184" s="692"/>
      <c r="F184" s="742"/>
      <c r="G184" s="661"/>
      <c r="H184" s="661"/>
      <c r="I184" s="661"/>
      <c r="J184" s="647"/>
      <c r="K184" s="609"/>
      <c r="L184" s="637"/>
      <c r="M184" s="572"/>
      <c r="N184" s="571"/>
      <c r="O184" s="571"/>
      <c r="P184" s="566"/>
      <c r="Q184" s="568"/>
      <c r="R184" s="608"/>
      <c r="S184" s="219">
        <v>3</v>
      </c>
      <c r="T184" s="419" t="s">
        <v>701</v>
      </c>
      <c r="U184" s="154" t="str">
        <f>IF(OR(V184="Preventivo",V184="Detectivo"),"Probabilidad",IF(V184="Correctivo","Impacto",""))</f>
        <v>Probabilidad</v>
      </c>
      <c r="V184" s="250" t="s">
        <v>12</v>
      </c>
      <c r="W184" s="250" t="s">
        <v>7</v>
      </c>
      <c r="X184" s="163" t="str">
        <f t="shared" si="60"/>
        <v>40%</v>
      </c>
      <c r="Y184" s="395" t="s">
        <v>17</v>
      </c>
      <c r="Z184" s="420" t="s">
        <v>20</v>
      </c>
      <c r="AA184" s="274" t="s">
        <v>413</v>
      </c>
      <c r="AB184" s="419"/>
      <c r="AC184" s="419" t="s">
        <v>702</v>
      </c>
      <c r="AD184" s="198">
        <v>0.12</v>
      </c>
      <c r="AE184" s="167" t="str">
        <f t="shared" si="71"/>
        <v>Muy Baja</v>
      </c>
      <c r="AF184" s="396">
        <f t="shared" si="72"/>
        <v>0.12</v>
      </c>
      <c r="AG184" s="397" t="str">
        <f>IFERROR(IF(AH184="","",IF(AH184&lt;=0.2,"Leve",IF(AH184&lt;=0.4,"Menor",IF(AH184&lt;=0.6,"Moderado",IF(AH184&lt;=0.8,"Mayor","Catastrófico"))))),"")</f>
        <v>Moderado</v>
      </c>
      <c r="AH184" s="396">
        <v>0.6</v>
      </c>
      <c r="AI184" s="399" t="str">
        <f>IFERROR(IF(OR(AND(AE184="Muy Baja",AG184="Leve"),AND(AE184="Muy Baja",AG184="Menor"),AND(AE184="Baja",AG184="Leve")),"Bajo",IF(OR(AND(AE184="Muy baja",AG184="Moderado"),AND(AE184="Baja",AG184="Menor"),AND(AE184="Baja",AG184="Moderado"),AND(AE184="Media",AG184="Leve"),AND(AE184="Media",AG184="Menor"),AND(AE184="Media",AG184="Moderado"),AND(AE184="Alta",AG184="Leve"),AND(AE184="Alta",AG184="Menor")),"Moderado",IF(OR(AND(AE184="Muy Baja",AG184="Mayor"),AND(AE184="Baja",AG184="Mayor"),AND(AE184="Media",AG184="Mayor"),AND(AE184="Alta",AG184="Moderado"),AND(AE184="Alta",AG184="Mayor"),AND(AE184="Muy Alta",AG184="Leve"),AND(AE184="Muy Alta",AG184="Menor"),AND(AE184="Muy Alta",AG184="Moderado"),AND(AE184="Muy Alta",AG184="Mayor")),"Alto",IF(OR(AND(AE184="Muy Baja",AG184="Catastrófico"),AND(AE184="Baja",AG184="Catastrófico"),AND(AE184="Media",AG184="Catastrófico"),AND(AE184="Alta",AG184="Catastrófico"),AND(AE184="Muy Alta",AG184="Catastrófico")),"Extremo","")))),"")</f>
        <v>Moderado</v>
      </c>
      <c r="AJ184" s="399" t="str">
        <f>$AI$183</f>
        <v>Moderado</v>
      </c>
      <c r="AK184" s="395" t="s">
        <v>27</v>
      </c>
      <c r="AL184" s="234"/>
      <c r="AM184" s="234"/>
      <c r="AN184" s="234"/>
      <c r="AO184" s="234"/>
      <c r="AP184" s="234"/>
      <c r="AQ184" s="234"/>
      <c r="AR184" s="234"/>
      <c r="AS184" s="234"/>
      <c r="AT184" s="234"/>
      <c r="AU184" s="234"/>
      <c r="AV184" s="234"/>
      <c r="AW184" s="234"/>
      <c r="AX184" s="234"/>
      <c r="AY184" s="234"/>
      <c r="AZ184" s="234"/>
      <c r="BA184" s="234"/>
      <c r="BB184" s="234"/>
      <c r="BC184" s="234"/>
      <c r="BD184" s="234"/>
      <c r="BE184" s="234"/>
      <c r="BF184" s="234"/>
      <c r="BG184" s="234"/>
      <c r="BH184" s="234"/>
      <c r="BI184" s="234"/>
      <c r="BJ184" s="234"/>
      <c r="BK184" s="234"/>
      <c r="BL184" s="234"/>
      <c r="BM184" s="234"/>
      <c r="BN184" s="234"/>
      <c r="BO184" s="234"/>
      <c r="BP184" s="234"/>
      <c r="BQ184" s="234"/>
      <c r="BR184" s="234"/>
      <c r="BS184" s="234"/>
      <c r="BT184" s="234"/>
      <c r="BU184" s="234"/>
      <c r="BV184" s="234"/>
      <c r="BW184" s="234"/>
      <c r="BX184" s="234"/>
      <c r="BY184" s="234"/>
      <c r="BZ184" s="234"/>
      <c r="CA184" s="234"/>
      <c r="CB184" s="234"/>
    </row>
    <row r="185" spans="1:80" ht="9" customHeight="1" x14ac:dyDescent="0.2">
      <c r="A185" s="662"/>
      <c r="B185" s="663"/>
      <c r="C185" s="666" t="s">
        <v>572</v>
      </c>
      <c r="D185" s="666"/>
      <c r="E185" s="666"/>
      <c r="F185" s="666"/>
      <c r="G185" s="666"/>
      <c r="H185" s="666"/>
      <c r="I185" s="666"/>
      <c r="J185" s="666"/>
      <c r="K185" s="666"/>
      <c r="L185" s="666"/>
      <c r="M185" s="666"/>
      <c r="N185" s="666"/>
      <c r="O185" s="666"/>
      <c r="P185" s="666"/>
      <c r="Q185" s="666"/>
      <c r="R185" s="666"/>
      <c r="S185" s="666"/>
      <c r="T185" s="666" t="s">
        <v>572</v>
      </c>
      <c r="U185" s="666"/>
      <c r="V185" s="666"/>
      <c r="W185" s="666"/>
      <c r="X185" s="666"/>
      <c r="Y185" s="666"/>
      <c r="Z185" s="666"/>
      <c r="AA185" s="666"/>
      <c r="AB185" s="666"/>
      <c r="AC185" s="666"/>
      <c r="AD185" s="666"/>
      <c r="AE185" s="666"/>
      <c r="AF185" s="666"/>
      <c r="AG185" s="666"/>
      <c r="AH185" s="666"/>
      <c r="AI185" s="553"/>
      <c r="AJ185" s="554"/>
      <c r="AK185" s="555"/>
    </row>
    <row r="186" spans="1:80" ht="10.5" customHeight="1" x14ac:dyDescent="0.2">
      <c r="A186" s="664"/>
      <c r="B186" s="665"/>
      <c r="C186" s="667" t="s">
        <v>573</v>
      </c>
      <c r="D186" s="667"/>
      <c r="E186" s="667"/>
      <c r="F186" s="667"/>
      <c r="G186" s="667"/>
      <c r="H186" s="667"/>
      <c r="I186" s="667"/>
      <c r="J186" s="667"/>
      <c r="K186" s="667"/>
      <c r="L186" s="667"/>
      <c r="M186" s="667"/>
      <c r="N186" s="667"/>
      <c r="O186" s="667"/>
      <c r="P186" s="667"/>
      <c r="Q186" s="667"/>
      <c r="R186" s="667"/>
      <c r="S186" s="667"/>
      <c r="T186" s="667" t="s">
        <v>574</v>
      </c>
      <c r="U186" s="667"/>
      <c r="V186" s="667"/>
      <c r="W186" s="667"/>
      <c r="X186" s="667"/>
      <c r="Y186" s="667"/>
      <c r="Z186" s="667"/>
      <c r="AA186" s="667"/>
      <c r="AB186" s="667"/>
      <c r="AC186" s="667"/>
      <c r="AD186" s="667"/>
      <c r="AE186" s="667"/>
      <c r="AF186" s="667"/>
      <c r="AG186" s="667"/>
      <c r="AH186" s="667"/>
      <c r="AI186" s="556" t="s">
        <v>575</v>
      </c>
      <c r="AJ186" s="557"/>
      <c r="AK186" s="558"/>
    </row>
    <row r="187" spans="1:80" ht="12" customHeight="1" x14ac:dyDescent="0.2">
      <c r="A187" s="664"/>
      <c r="B187" s="665"/>
      <c r="C187" s="559" t="s">
        <v>576</v>
      </c>
      <c r="D187" s="560"/>
      <c r="E187" s="560"/>
      <c r="F187" s="560"/>
      <c r="G187" s="560"/>
      <c r="H187" s="560"/>
      <c r="I187" s="560"/>
      <c r="J187" s="560"/>
      <c r="K187" s="560"/>
      <c r="L187" s="560"/>
      <c r="M187" s="560"/>
      <c r="N187" s="560"/>
      <c r="O187" s="560"/>
      <c r="P187" s="560"/>
      <c r="Q187" s="560"/>
      <c r="R187" s="560"/>
      <c r="S187" s="560"/>
      <c r="T187" s="560"/>
      <c r="U187" s="560"/>
      <c r="V187" s="560"/>
      <c r="W187" s="560"/>
      <c r="X187" s="560"/>
      <c r="Y187" s="560"/>
      <c r="Z187" s="560"/>
      <c r="AA187" s="560"/>
      <c r="AB187" s="560"/>
      <c r="AC187" s="560"/>
      <c r="AD187" s="560"/>
      <c r="AE187" s="560"/>
      <c r="AF187" s="560"/>
      <c r="AG187" s="560"/>
      <c r="AH187" s="560"/>
      <c r="AI187" s="560"/>
      <c r="AJ187" s="560"/>
      <c r="AK187" s="561"/>
    </row>
    <row r="188" spans="1:80" ht="20.25" x14ac:dyDescent="0.2">
      <c r="A188" s="408"/>
      <c r="B188" s="409"/>
      <c r="C188" s="409"/>
      <c r="D188" s="409"/>
      <c r="E188" s="413">
        <v>91</v>
      </c>
      <c r="F188" s="411"/>
      <c r="G188" s="411"/>
      <c r="H188" s="414"/>
      <c r="I188" s="411"/>
      <c r="J188" s="410"/>
      <c r="K188" s="411"/>
      <c r="L188" s="409"/>
      <c r="M188" s="409"/>
      <c r="N188" s="409"/>
      <c r="O188" s="409"/>
      <c r="P188" s="409"/>
      <c r="Q188" s="409"/>
      <c r="R188" s="410"/>
      <c r="S188" s="415">
        <v>171</v>
      </c>
      <c r="T188" s="411"/>
      <c r="U188" s="409"/>
      <c r="V188" s="409"/>
      <c r="W188" s="409"/>
      <c r="X188" s="409"/>
      <c r="Y188" s="409"/>
      <c r="Z188" s="409"/>
      <c r="AA188" s="409"/>
      <c r="AB188" s="409"/>
      <c r="AC188" s="409"/>
      <c r="AD188" s="409"/>
      <c r="AE188" s="409"/>
      <c r="AF188" s="409"/>
      <c r="AG188" s="409"/>
      <c r="AH188" s="409"/>
      <c r="AI188" s="409"/>
      <c r="AJ188" s="409"/>
      <c r="AK188" s="412"/>
    </row>
    <row r="189" spans="1:80" ht="13.5" thickBot="1" x14ac:dyDescent="0.25">
      <c r="A189" s="242"/>
      <c r="B189" s="237"/>
      <c r="C189" s="237"/>
      <c r="D189" s="237"/>
      <c r="E189" s="237"/>
      <c r="F189" s="237"/>
      <c r="G189" s="237"/>
      <c r="H189" s="237"/>
      <c r="I189" s="237"/>
      <c r="J189" s="237"/>
      <c r="K189" s="237"/>
      <c r="L189" s="237"/>
      <c r="M189" s="237"/>
      <c r="N189" s="237"/>
      <c r="O189" s="237"/>
      <c r="P189" s="237"/>
      <c r="Q189" s="237"/>
      <c r="R189" s="237"/>
      <c r="S189" s="416"/>
      <c r="T189" s="237"/>
      <c r="U189" s="237"/>
      <c r="V189" s="237"/>
      <c r="W189" s="237"/>
      <c r="X189" s="237"/>
      <c r="Y189" s="237"/>
      <c r="Z189" s="237"/>
      <c r="AA189" s="237"/>
      <c r="AB189" s="237"/>
      <c r="AC189" s="237"/>
      <c r="AD189" s="237"/>
      <c r="AE189" s="237"/>
      <c r="AF189" s="237"/>
      <c r="AG189" s="237"/>
      <c r="AH189" s="237"/>
      <c r="AI189" s="237"/>
      <c r="AJ189" s="237"/>
      <c r="AK189" s="237"/>
    </row>
    <row r="190" spans="1:80" x14ac:dyDescent="0.2">
      <c r="A190" s="418"/>
      <c r="B190" s="234"/>
      <c r="C190" s="234"/>
      <c r="D190" s="234"/>
      <c r="E190" s="407"/>
      <c r="F190" s="407"/>
      <c r="G190" s="407"/>
      <c r="H190" s="417"/>
      <c r="I190" s="407"/>
      <c r="J190" s="406"/>
      <c r="K190" s="407"/>
      <c r="L190" s="234"/>
      <c r="M190" s="234"/>
      <c r="N190" s="234"/>
      <c r="O190" s="234"/>
      <c r="P190" s="234"/>
      <c r="Q190" s="234"/>
      <c r="R190" s="406"/>
      <c r="S190" s="234"/>
      <c r="T190" s="610" t="s">
        <v>563</v>
      </c>
      <c r="U190" s="611"/>
      <c r="V190" s="611"/>
      <c r="W190" s="611"/>
      <c r="X190" s="611"/>
      <c r="Y190" s="611"/>
      <c r="Z190" s="611"/>
      <c r="AA190" s="611"/>
      <c r="AB190" s="611"/>
      <c r="AC190" s="611"/>
      <c r="AD190" s="611"/>
      <c r="AE190" s="612"/>
      <c r="AF190" s="234"/>
      <c r="AG190" s="234"/>
      <c r="AH190" s="234"/>
      <c r="AI190" s="234"/>
      <c r="AJ190" s="234"/>
      <c r="AK190" s="406"/>
    </row>
    <row r="191" spans="1:80" ht="13.5" customHeight="1" thickBot="1" x14ac:dyDescent="0.25">
      <c r="A191" s="242"/>
      <c r="B191" s="234"/>
      <c r="C191" s="234"/>
      <c r="D191" s="234"/>
      <c r="E191" s="407"/>
      <c r="F191" s="407"/>
      <c r="G191" s="407"/>
      <c r="H191" s="417"/>
      <c r="I191" s="407"/>
      <c r="J191" s="406"/>
      <c r="K191" s="407"/>
      <c r="L191" s="234"/>
      <c r="M191" s="234"/>
      <c r="N191" s="234"/>
      <c r="O191" s="234"/>
      <c r="P191" s="234"/>
      <c r="Q191" s="234"/>
      <c r="R191" s="406"/>
      <c r="S191" s="234"/>
      <c r="T191" s="613"/>
      <c r="U191" s="614"/>
      <c r="V191" s="614"/>
      <c r="W191" s="614"/>
      <c r="X191" s="614"/>
      <c r="Y191" s="614"/>
      <c r="Z191" s="614"/>
      <c r="AA191" s="614"/>
      <c r="AB191" s="614"/>
      <c r="AC191" s="614"/>
      <c r="AD191" s="614"/>
      <c r="AE191" s="615"/>
      <c r="AF191" s="588"/>
      <c r="AG191" s="588"/>
      <c r="AH191" s="588"/>
      <c r="AI191" s="588"/>
      <c r="AJ191" s="588"/>
      <c r="AK191" s="588"/>
    </row>
    <row r="192" spans="1:80" ht="13.5" customHeight="1" x14ac:dyDescent="0.2">
      <c r="A192" s="234"/>
      <c r="B192" s="234"/>
      <c r="C192" s="234"/>
      <c r="D192" s="234"/>
      <c r="E192" s="407"/>
      <c r="F192" s="407"/>
      <c r="G192" s="407"/>
      <c r="H192" s="417"/>
      <c r="I192" s="407"/>
      <c r="J192" s="406"/>
      <c r="K192" s="407"/>
      <c r="L192" s="234"/>
      <c r="M192" s="234"/>
      <c r="N192" s="234"/>
      <c r="O192" s="234"/>
      <c r="P192" s="234"/>
      <c r="Q192" s="234"/>
      <c r="R192" s="406"/>
      <c r="S192" s="234"/>
      <c r="T192" s="616" t="s">
        <v>564</v>
      </c>
      <c r="U192" s="617"/>
      <c r="V192" s="617"/>
      <c r="W192" s="617"/>
      <c r="X192" s="618"/>
      <c r="Y192" s="622" t="s">
        <v>565</v>
      </c>
      <c r="Z192" s="623"/>
      <c r="AA192" s="626" t="s">
        <v>566</v>
      </c>
      <c r="AB192" s="627"/>
      <c r="AC192" s="626" t="s">
        <v>567</v>
      </c>
      <c r="AD192" s="630"/>
      <c r="AE192" s="627"/>
      <c r="AF192" s="588"/>
      <c r="AG192" s="588"/>
      <c r="AH192" s="588"/>
      <c r="AI192" s="588"/>
      <c r="AJ192" s="588"/>
      <c r="AK192" s="588"/>
    </row>
    <row r="193" spans="1:37" ht="61.5" customHeight="1" thickBot="1" x14ac:dyDescent="0.25">
      <c r="A193" s="234"/>
      <c r="B193" s="234"/>
      <c r="C193" s="234"/>
      <c r="D193" s="234"/>
      <c r="E193" s="407"/>
      <c r="F193" s="407"/>
      <c r="G193" s="407"/>
      <c r="H193" s="417"/>
      <c r="I193" s="407"/>
      <c r="J193" s="406"/>
      <c r="K193" s="407"/>
      <c r="L193" s="234"/>
      <c r="M193" s="234"/>
      <c r="N193" s="234"/>
      <c r="O193" s="234"/>
      <c r="P193" s="234"/>
      <c r="Q193" s="234"/>
      <c r="R193" s="406"/>
      <c r="S193" s="234"/>
      <c r="T193" s="619"/>
      <c r="U193" s="620"/>
      <c r="V193" s="620"/>
      <c r="W193" s="620"/>
      <c r="X193" s="621"/>
      <c r="Y193" s="624"/>
      <c r="Z193" s="625"/>
      <c r="AA193" s="628"/>
      <c r="AB193" s="629"/>
      <c r="AC193" s="628"/>
      <c r="AD193" s="631"/>
      <c r="AE193" s="629"/>
      <c r="AF193" s="587"/>
      <c r="AG193" s="587"/>
      <c r="AH193" s="587"/>
      <c r="AI193" s="587"/>
      <c r="AJ193" s="587"/>
      <c r="AK193" s="586"/>
    </row>
    <row r="194" spans="1:37" ht="13.5" customHeight="1" x14ac:dyDescent="0.2">
      <c r="A194" s="234"/>
      <c r="B194" s="234"/>
      <c r="C194" s="234"/>
      <c r="D194" s="234"/>
      <c r="E194" s="407"/>
      <c r="F194" s="407"/>
      <c r="G194" s="407"/>
      <c r="H194" s="417"/>
      <c r="I194" s="407"/>
      <c r="J194" s="406"/>
      <c r="K194" s="407"/>
      <c r="L194" s="234"/>
      <c r="M194" s="234"/>
      <c r="N194" s="234"/>
      <c r="O194" s="234"/>
      <c r="P194" s="234"/>
      <c r="Q194" s="234"/>
      <c r="R194" s="406"/>
      <c r="S194" s="234"/>
      <c r="T194" s="547" t="s">
        <v>650</v>
      </c>
      <c r="U194" s="632"/>
      <c r="V194" s="632"/>
      <c r="W194" s="632"/>
      <c r="X194" s="548"/>
      <c r="Y194" s="547" t="s">
        <v>607</v>
      </c>
      <c r="Z194" s="548"/>
      <c r="AA194" s="547" t="s">
        <v>568</v>
      </c>
      <c r="AB194" s="548"/>
      <c r="AC194" s="538" t="s">
        <v>608</v>
      </c>
      <c r="AD194" s="539"/>
      <c r="AE194" s="540"/>
      <c r="AF194" s="587"/>
      <c r="AG194" s="587"/>
      <c r="AH194" s="587"/>
      <c r="AI194" s="587"/>
      <c r="AJ194" s="587"/>
      <c r="AK194" s="586"/>
    </row>
    <row r="195" spans="1:37" ht="12.75" customHeight="1" x14ac:dyDescent="0.2">
      <c r="A195" s="234"/>
      <c r="B195" s="234"/>
      <c r="C195" s="234"/>
      <c r="D195" s="234"/>
      <c r="E195" s="407"/>
      <c r="F195" s="407"/>
      <c r="G195" s="407"/>
      <c r="H195" s="417"/>
      <c r="I195" s="407"/>
      <c r="J195" s="406"/>
      <c r="K195" s="407"/>
      <c r="L195" s="234"/>
      <c r="M195" s="234"/>
      <c r="N195" s="234"/>
      <c r="O195" s="234"/>
      <c r="P195" s="234"/>
      <c r="Q195" s="234"/>
      <c r="R195" s="406"/>
      <c r="S195" s="234"/>
      <c r="T195" s="549"/>
      <c r="U195" s="537"/>
      <c r="V195" s="537"/>
      <c r="W195" s="537"/>
      <c r="X195" s="550"/>
      <c r="Y195" s="549"/>
      <c r="Z195" s="550"/>
      <c r="AA195" s="549"/>
      <c r="AB195" s="550"/>
      <c r="AC195" s="541"/>
      <c r="AD195" s="542"/>
      <c r="AE195" s="543"/>
      <c r="AF195" s="589"/>
      <c r="AG195" s="589"/>
      <c r="AH195" s="589"/>
      <c r="AI195" s="589"/>
      <c r="AJ195" s="589"/>
      <c r="AK195" s="537"/>
    </row>
    <row r="196" spans="1:37" ht="12.75" customHeight="1" x14ac:dyDescent="0.2">
      <c r="A196" s="234"/>
      <c r="B196" s="234"/>
      <c r="C196" s="234"/>
      <c r="D196" s="234"/>
      <c r="E196" s="407"/>
      <c r="F196" s="407"/>
      <c r="G196" s="407"/>
      <c r="H196" s="417"/>
      <c r="I196" s="407"/>
      <c r="J196" s="406"/>
      <c r="K196" s="407"/>
      <c r="L196" s="234"/>
      <c r="M196" s="234"/>
      <c r="N196" s="234"/>
      <c r="O196" s="234"/>
      <c r="P196" s="234"/>
      <c r="Q196" s="234"/>
      <c r="R196" s="406"/>
      <c r="S196" s="234"/>
      <c r="T196" s="549"/>
      <c r="U196" s="537"/>
      <c r="V196" s="537"/>
      <c r="W196" s="537"/>
      <c r="X196" s="550"/>
      <c r="Y196" s="549"/>
      <c r="Z196" s="550"/>
      <c r="AA196" s="549"/>
      <c r="AB196" s="550"/>
      <c r="AC196" s="541"/>
      <c r="AD196" s="542"/>
      <c r="AE196" s="543"/>
      <c r="AF196" s="589"/>
      <c r="AG196" s="589"/>
      <c r="AH196" s="589"/>
      <c r="AI196" s="589"/>
      <c r="AJ196" s="589"/>
      <c r="AK196" s="537"/>
    </row>
    <row r="197" spans="1:37" ht="12.75" customHeight="1" x14ac:dyDescent="0.2">
      <c r="A197" s="234"/>
      <c r="B197" s="234"/>
      <c r="C197" s="234"/>
      <c r="D197" s="234"/>
      <c r="E197" s="407"/>
      <c r="F197" s="407"/>
      <c r="G197" s="407"/>
      <c r="H197" s="417"/>
      <c r="I197" s="407"/>
      <c r="J197" s="406"/>
      <c r="K197" s="407"/>
      <c r="L197" s="234"/>
      <c r="M197" s="234"/>
      <c r="N197" s="234"/>
      <c r="O197" s="234"/>
      <c r="P197" s="234"/>
      <c r="Q197" s="234"/>
      <c r="R197" s="406"/>
      <c r="S197" s="234"/>
      <c r="T197" s="549"/>
      <c r="U197" s="537"/>
      <c r="V197" s="537"/>
      <c r="W197" s="537"/>
      <c r="X197" s="550"/>
      <c r="Y197" s="549"/>
      <c r="Z197" s="550"/>
      <c r="AA197" s="549"/>
      <c r="AB197" s="550"/>
      <c r="AC197" s="541"/>
      <c r="AD197" s="542"/>
      <c r="AE197" s="543"/>
      <c r="AF197" s="589"/>
      <c r="AG197" s="589"/>
      <c r="AH197" s="589"/>
      <c r="AI197" s="589"/>
      <c r="AJ197" s="589"/>
      <c r="AK197" s="537"/>
    </row>
    <row r="198" spans="1:37" ht="12.75" customHeight="1" x14ac:dyDescent="0.2">
      <c r="A198" s="234"/>
      <c r="B198" s="234"/>
      <c r="C198" s="234"/>
      <c r="D198" s="234"/>
      <c r="E198" s="407"/>
      <c r="F198" s="407"/>
      <c r="G198" s="407"/>
      <c r="H198" s="417"/>
      <c r="I198" s="407"/>
      <c r="J198" s="406"/>
      <c r="K198" s="407"/>
      <c r="L198" s="234"/>
      <c r="M198" s="234"/>
      <c r="N198" s="234"/>
      <c r="O198" s="234"/>
      <c r="P198" s="234"/>
      <c r="Q198" s="234"/>
      <c r="R198" s="406"/>
      <c r="S198" s="234"/>
      <c r="T198" s="549"/>
      <c r="U198" s="537"/>
      <c r="V198" s="537"/>
      <c r="W198" s="537"/>
      <c r="X198" s="550"/>
      <c r="Y198" s="549"/>
      <c r="Z198" s="550"/>
      <c r="AA198" s="549"/>
      <c r="AB198" s="550"/>
      <c r="AC198" s="541"/>
      <c r="AD198" s="542"/>
      <c r="AE198" s="543"/>
      <c r="AF198" s="589"/>
      <c r="AG198" s="589"/>
      <c r="AH198" s="589"/>
      <c r="AI198" s="589"/>
      <c r="AJ198" s="589"/>
      <c r="AK198" s="537"/>
    </row>
    <row r="199" spans="1:37" ht="12.75" customHeight="1" x14ac:dyDescent="0.2">
      <c r="A199" s="234"/>
      <c r="B199" s="234"/>
      <c r="C199" s="234"/>
      <c r="D199" s="234"/>
      <c r="E199" s="407"/>
      <c r="F199" s="407"/>
      <c r="G199" s="407"/>
      <c r="H199" s="417"/>
      <c r="I199" s="407"/>
      <c r="J199" s="406"/>
      <c r="K199" s="407"/>
      <c r="L199" s="234"/>
      <c r="M199" s="234"/>
      <c r="N199" s="234"/>
      <c r="O199" s="234"/>
      <c r="P199" s="234"/>
      <c r="Q199" s="234"/>
      <c r="R199" s="406"/>
      <c r="S199" s="234"/>
      <c r="T199" s="549"/>
      <c r="U199" s="537"/>
      <c r="V199" s="537"/>
      <c r="W199" s="537"/>
      <c r="X199" s="550"/>
      <c r="Y199" s="549"/>
      <c r="Z199" s="550"/>
      <c r="AA199" s="549"/>
      <c r="AB199" s="550"/>
      <c r="AC199" s="541"/>
      <c r="AD199" s="542"/>
      <c r="AE199" s="543"/>
      <c r="AF199" s="589"/>
      <c r="AG199" s="589"/>
      <c r="AH199" s="589"/>
      <c r="AI199" s="589"/>
      <c r="AJ199" s="589"/>
      <c r="AK199" s="537"/>
    </row>
    <row r="200" spans="1:37" ht="12.75" customHeight="1" x14ac:dyDescent="0.2">
      <c r="A200" s="234"/>
      <c r="B200" s="234"/>
      <c r="C200" s="234"/>
      <c r="D200" s="234"/>
      <c r="E200" s="407"/>
      <c r="F200" s="407"/>
      <c r="G200" s="407"/>
      <c r="H200" s="417"/>
      <c r="I200" s="407"/>
      <c r="J200" s="406"/>
      <c r="K200" s="407"/>
      <c r="L200" s="234"/>
      <c r="M200" s="234"/>
      <c r="N200" s="234"/>
      <c r="O200" s="234"/>
      <c r="P200" s="234"/>
      <c r="Q200" s="234"/>
      <c r="R200" s="406"/>
      <c r="S200" s="234"/>
      <c r="T200" s="549"/>
      <c r="U200" s="537"/>
      <c r="V200" s="537"/>
      <c r="W200" s="537"/>
      <c r="X200" s="550"/>
      <c r="Y200" s="549"/>
      <c r="Z200" s="550"/>
      <c r="AA200" s="549"/>
      <c r="AB200" s="550"/>
      <c r="AC200" s="541"/>
      <c r="AD200" s="542"/>
      <c r="AE200" s="543"/>
      <c r="AF200" s="589"/>
      <c r="AG200" s="589"/>
      <c r="AH200" s="589"/>
      <c r="AI200" s="589"/>
      <c r="AJ200" s="589"/>
      <c r="AK200" s="537"/>
    </row>
    <row r="201" spans="1:37" ht="12.75" customHeight="1" x14ac:dyDescent="0.2">
      <c r="A201" s="234"/>
      <c r="B201" s="234"/>
      <c r="C201" s="234"/>
      <c r="D201" s="234"/>
      <c r="E201" s="407"/>
      <c r="F201" s="407"/>
      <c r="G201" s="407"/>
      <c r="H201" s="417"/>
      <c r="I201" s="407"/>
      <c r="J201" s="406"/>
      <c r="K201" s="407"/>
      <c r="L201" s="234"/>
      <c r="M201" s="234"/>
      <c r="N201" s="234"/>
      <c r="O201" s="234"/>
      <c r="P201" s="234"/>
      <c r="Q201" s="234"/>
      <c r="R201" s="406"/>
      <c r="S201" s="234"/>
      <c r="T201" s="549"/>
      <c r="U201" s="537"/>
      <c r="V201" s="537"/>
      <c r="W201" s="537"/>
      <c r="X201" s="550"/>
      <c r="Y201" s="549"/>
      <c r="Z201" s="550"/>
      <c r="AA201" s="549"/>
      <c r="AB201" s="550"/>
      <c r="AC201" s="541"/>
      <c r="AD201" s="542"/>
      <c r="AE201" s="543"/>
      <c r="AF201" s="589"/>
      <c r="AG201" s="589"/>
      <c r="AH201" s="589"/>
      <c r="AI201" s="589"/>
      <c r="AJ201" s="589"/>
      <c r="AK201" s="537"/>
    </row>
    <row r="202" spans="1:37" ht="12.75" customHeight="1" x14ac:dyDescent="0.2">
      <c r="A202" s="234"/>
      <c r="B202" s="234"/>
      <c r="C202" s="234"/>
      <c r="D202" s="234"/>
      <c r="E202" s="407"/>
      <c r="F202" s="407"/>
      <c r="G202" s="407"/>
      <c r="H202" s="417"/>
      <c r="I202" s="407"/>
      <c r="J202" s="406"/>
      <c r="K202" s="407"/>
      <c r="L202" s="234"/>
      <c r="M202" s="234"/>
      <c r="N202" s="234"/>
      <c r="O202" s="234"/>
      <c r="P202" s="234"/>
      <c r="Q202" s="234"/>
      <c r="R202" s="406"/>
      <c r="S202" s="234"/>
      <c r="T202" s="549"/>
      <c r="U202" s="537"/>
      <c r="V202" s="537"/>
      <c r="W202" s="537"/>
      <c r="X202" s="550"/>
      <c r="Y202" s="549"/>
      <c r="Z202" s="550"/>
      <c r="AA202" s="549"/>
      <c r="AB202" s="550"/>
      <c r="AC202" s="541"/>
      <c r="AD202" s="542"/>
      <c r="AE202" s="543"/>
      <c r="AF202" s="589"/>
      <c r="AG202" s="589"/>
      <c r="AH202" s="589"/>
      <c r="AI202" s="589"/>
      <c r="AJ202" s="589"/>
      <c r="AK202" s="537"/>
    </row>
    <row r="203" spans="1:37" ht="12.75" customHeight="1" x14ac:dyDescent="0.2">
      <c r="A203" s="234"/>
      <c r="B203" s="234"/>
      <c r="C203" s="234"/>
      <c r="D203" s="234"/>
      <c r="E203" s="407"/>
      <c r="F203" s="407"/>
      <c r="G203" s="407"/>
      <c r="H203" s="417"/>
      <c r="I203" s="407"/>
      <c r="J203" s="406"/>
      <c r="K203" s="407"/>
      <c r="L203" s="234"/>
      <c r="M203" s="234"/>
      <c r="N203" s="234"/>
      <c r="O203" s="234"/>
      <c r="P203" s="234"/>
      <c r="Q203" s="234"/>
      <c r="R203" s="406"/>
      <c r="S203" s="234"/>
      <c r="T203" s="549"/>
      <c r="U203" s="537"/>
      <c r="V203" s="537"/>
      <c r="W203" s="537"/>
      <c r="X203" s="550"/>
      <c r="Y203" s="549"/>
      <c r="Z203" s="550"/>
      <c r="AA203" s="549"/>
      <c r="AB203" s="550"/>
      <c r="AC203" s="541"/>
      <c r="AD203" s="542"/>
      <c r="AE203" s="543"/>
      <c r="AF203" s="589"/>
      <c r="AG203" s="589"/>
      <c r="AH203" s="589"/>
      <c r="AI203" s="589"/>
      <c r="AJ203" s="589"/>
      <c r="AK203" s="537"/>
    </row>
    <row r="204" spans="1:37" ht="12.75" customHeight="1" x14ac:dyDescent="0.2">
      <c r="A204" s="234"/>
      <c r="B204" s="234"/>
      <c r="C204" s="234"/>
      <c r="D204" s="234"/>
      <c r="E204" s="407"/>
      <c r="F204" s="407"/>
      <c r="G204" s="407"/>
      <c r="H204" s="417"/>
      <c r="I204" s="407"/>
      <c r="J204" s="406"/>
      <c r="K204" s="407"/>
      <c r="L204" s="234"/>
      <c r="M204" s="234"/>
      <c r="N204" s="234"/>
      <c r="O204" s="234"/>
      <c r="P204" s="234"/>
      <c r="Q204" s="234"/>
      <c r="R204" s="406"/>
      <c r="S204" s="234"/>
      <c r="T204" s="549"/>
      <c r="U204" s="537"/>
      <c r="V204" s="537"/>
      <c r="W204" s="537"/>
      <c r="X204" s="550"/>
      <c r="Y204" s="549"/>
      <c r="Z204" s="550"/>
      <c r="AA204" s="549"/>
      <c r="AB204" s="550"/>
      <c r="AC204" s="541"/>
      <c r="AD204" s="542"/>
      <c r="AE204" s="543"/>
      <c r="AF204" s="589"/>
      <c r="AG204" s="589"/>
      <c r="AH204" s="589"/>
      <c r="AI204" s="589"/>
      <c r="AJ204" s="589"/>
      <c r="AK204" s="537"/>
    </row>
    <row r="205" spans="1:37" ht="12.75" customHeight="1" x14ac:dyDescent="0.2">
      <c r="A205" s="234"/>
      <c r="B205" s="234"/>
      <c r="C205" s="234"/>
      <c r="D205" s="234"/>
      <c r="E205" s="407"/>
      <c r="F205" s="407"/>
      <c r="G205" s="407"/>
      <c r="H205" s="417"/>
      <c r="I205" s="407"/>
      <c r="J205" s="406"/>
      <c r="K205" s="407"/>
      <c r="L205" s="234"/>
      <c r="M205" s="234"/>
      <c r="N205" s="234"/>
      <c r="O205" s="234"/>
      <c r="P205" s="234"/>
      <c r="Q205" s="234"/>
      <c r="R205" s="406"/>
      <c r="S205" s="234"/>
      <c r="T205" s="549"/>
      <c r="U205" s="537"/>
      <c r="V205" s="537"/>
      <c r="W205" s="537"/>
      <c r="X205" s="550"/>
      <c r="Y205" s="549"/>
      <c r="Z205" s="550"/>
      <c r="AA205" s="549"/>
      <c r="AB205" s="550"/>
      <c r="AC205" s="541"/>
      <c r="AD205" s="542"/>
      <c r="AE205" s="543"/>
      <c r="AF205" s="589"/>
      <c r="AG205" s="589"/>
      <c r="AH205" s="589"/>
      <c r="AI205" s="589"/>
      <c r="AJ205" s="589"/>
      <c r="AK205" s="537"/>
    </row>
    <row r="206" spans="1:37" ht="12.75" customHeight="1" x14ac:dyDescent="0.2">
      <c r="A206" s="234"/>
      <c r="B206" s="234"/>
      <c r="C206" s="234"/>
      <c r="D206" s="234"/>
      <c r="E206" s="407"/>
      <c r="F206" s="407"/>
      <c r="G206" s="407"/>
      <c r="H206" s="417"/>
      <c r="I206" s="407"/>
      <c r="J206" s="406"/>
      <c r="K206" s="407"/>
      <c r="L206" s="234"/>
      <c r="M206" s="234"/>
      <c r="N206" s="234"/>
      <c r="O206" s="234"/>
      <c r="P206" s="234"/>
      <c r="Q206" s="234"/>
      <c r="R206" s="406"/>
      <c r="S206" s="234"/>
      <c r="T206" s="549"/>
      <c r="U206" s="537"/>
      <c r="V206" s="537"/>
      <c r="W206" s="537"/>
      <c r="X206" s="550"/>
      <c r="Y206" s="549"/>
      <c r="Z206" s="550"/>
      <c r="AA206" s="549"/>
      <c r="AB206" s="550"/>
      <c r="AC206" s="541"/>
      <c r="AD206" s="542"/>
      <c r="AE206" s="543"/>
      <c r="AF206" s="589"/>
      <c r="AG206" s="589"/>
      <c r="AH206" s="589"/>
      <c r="AI206" s="589"/>
      <c r="AJ206" s="589"/>
      <c r="AK206" s="537"/>
    </row>
    <row r="207" spans="1:37" ht="12.75" customHeight="1" x14ac:dyDescent="0.2">
      <c r="A207" s="234"/>
      <c r="B207" s="234"/>
      <c r="C207" s="234"/>
      <c r="D207" s="234"/>
      <c r="E207" s="407"/>
      <c r="F207" s="407"/>
      <c r="G207" s="407"/>
      <c r="H207" s="417"/>
      <c r="I207" s="407"/>
      <c r="J207" s="406"/>
      <c r="K207" s="407"/>
      <c r="L207" s="234"/>
      <c r="M207" s="234"/>
      <c r="N207" s="234"/>
      <c r="O207" s="234"/>
      <c r="P207" s="234"/>
      <c r="Q207" s="234"/>
      <c r="R207" s="406"/>
      <c r="S207" s="234"/>
      <c r="T207" s="549"/>
      <c r="U207" s="537"/>
      <c r="V207" s="537"/>
      <c r="W207" s="537"/>
      <c r="X207" s="550"/>
      <c r="Y207" s="549"/>
      <c r="Z207" s="550"/>
      <c r="AA207" s="549"/>
      <c r="AB207" s="550"/>
      <c r="AC207" s="541"/>
      <c r="AD207" s="542"/>
      <c r="AE207" s="543"/>
      <c r="AF207" s="589"/>
      <c r="AG207" s="589"/>
      <c r="AH207" s="589"/>
      <c r="AI207" s="589"/>
      <c r="AJ207" s="589"/>
      <c r="AK207" s="537"/>
    </row>
    <row r="208" spans="1:37" ht="12.75" customHeight="1" x14ac:dyDescent="0.2">
      <c r="A208" s="234"/>
      <c r="B208" s="234"/>
      <c r="C208" s="234"/>
      <c r="D208" s="234"/>
      <c r="E208" s="407"/>
      <c r="F208" s="407"/>
      <c r="G208" s="407"/>
      <c r="H208" s="417"/>
      <c r="I208" s="407"/>
      <c r="J208" s="406"/>
      <c r="K208" s="407"/>
      <c r="L208" s="234"/>
      <c r="M208" s="234"/>
      <c r="N208" s="234"/>
      <c r="O208" s="234"/>
      <c r="P208" s="234"/>
      <c r="Q208" s="234"/>
      <c r="R208" s="406"/>
      <c r="S208" s="234"/>
      <c r="T208" s="549"/>
      <c r="U208" s="537"/>
      <c r="V208" s="537"/>
      <c r="W208" s="537"/>
      <c r="X208" s="550"/>
      <c r="Y208" s="549"/>
      <c r="Z208" s="550"/>
      <c r="AA208" s="549"/>
      <c r="AB208" s="550"/>
      <c r="AC208" s="541"/>
      <c r="AD208" s="542"/>
      <c r="AE208" s="543"/>
      <c r="AF208" s="589"/>
      <c r="AG208" s="589"/>
      <c r="AH208" s="589"/>
      <c r="AI208" s="589"/>
      <c r="AJ208" s="589"/>
      <c r="AK208" s="537"/>
    </row>
    <row r="209" spans="1:37" ht="12.75" customHeight="1" x14ac:dyDescent="0.2">
      <c r="A209" s="234"/>
      <c r="B209" s="234"/>
      <c r="C209" s="234"/>
      <c r="D209" s="234"/>
      <c r="E209" s="407"/>
      <c r="F209" s="407"/>
      <c r="G209" s="407"/>
      <c r="H209" s="417"/>
      <c r="I209" s="407"/>
      <c r="J209" s="406"/>
      <c r="K209" s="407"/>
      <c r="L209" s="234"/>
      <c r="M209" s="234"/>
      <c r="N209" s="234"/>
      <c r="O209" s="234"/>
      <c r="P209" s="234"/>
      <c r="Q209" s="234"/>
      <c r="R209" s="406"/>
      <c r="S209" s="234"/>
      <c r="T209" s="549"/>
      <c r="U209" s="537"/>
      <c r="V209" s="537"/>
      <c r="W209" s="537"/>
      <c r="X209" s="550"/>
      <c r="Y209" s="549"/>
      <c r="Z209" s="550"/>
      <c r="AA209" s="549"/>
      <c r="AB209" s="550"/>
      <c r="AC209" s="541"/>
      <c r="AD209" s="542"/>
      <c r="AE209" s="543"/>
      <c r="AF209" s="589"/>
      <c r="AG209" s="589"/>
      <c r="AH209" s="589"/>
      <c r="AI209" s="589"/>
      <c r="AJ209" s="589"/>
      <c r="AK209" s="537"/>
    </row>
    <row r="210" spans="1:37" ht="12.75" customHeight="1" thickBot="1" x14ac:dyDescent="0.25">
      <c r="A210" s="234"/>
      <c r="B210" s="234"/>
      <c r="C210" s="234"/>
      <c r="D210" s="234"/>
      <c r="E210" s="407"/>
      <c r="F210" s="407"/>
      <c r="G210" s="407"/>
      <c r="H210" s="417"/>
      <c r="I210" s="407"/>
      <c r="J210" s="406"/>
      <c r="K210" s="407"/>
      <c r="L210" s="234"/>
      <c r="M210" s="234"/>
      <c r="N210" s="234"/>
      <c r="O210" s="234"/>
      <c r="P210" s="234"/>
      <c r="Q210" s="234"/>
      <c r="R210" s="406"/>
      <c r="S210" s="234"/>
      <c r="T210" s="551"/>
      <c r="U210" s="633"/>
      <c r="V210" s="633"/>
      <c r="W210" s="633"/>
      <c r="X210" s="552"/>
      <c r="Y210" s="551"/>
      <c r="Z210" s="552"/>
      <c r="AA210" s="551"/>
      <c r="AB210" s="552"/>
      <c r="AC210" s="544"/>
      <c r="AD210" s="545"/>
      <c r="AE210" s="546"/>
      <c r="AF210" s="589"/>
      <c r="AG210" s="589"/>
      <c r="AH210" s="589"/>
      <c r="AI210" s="589"/>
      <c r="AJ210" s="589"/>
      <c r="AK210" s="537"/>
    </row>
    <row r="211" spans="1:37" ht="10.5" customHeight="1" x14ac:dyDescent="0.2">
      <c r="A211" s="234"/>
      <c r="B211" s="234"/>
      <c r="C211" s="234"/>
      <c r="D211" s="234"/>
      <c r="E211" s="407"/>
      <c r="F211" s="407"/>
      <c r="G211" s="407"/>
      <c r="H211" s="417"/>
      <c r="I211" s="407"/>
      <c r="J211" s="406"/>
      <c r="K211" s="407"/>
      <c r="L211" s="234"/>
      <c r="M211" s="234"/>
      <c r="N211" s="234"/>
      <c r="O211" s="234"/>
      <c r="P211" s="234"/>
      <c r="Q211" s="234"/>
      <c r="R211" s="406"/>
      <c r="S211" s="234"/>
      <c r="T211" s="407"/>
      <c r="U211" s="234"/>
      <c r="V211" s="234"/>
      <c r="W211" s="234"/>
      <c r="X211" s="234"/>
      <c r="Y211" s="234"/>
      <c r="Z211" s="234"/>
      <c r="AA211" s="234"/>
      <c r="AB211" s="234"/>
      <c r="AC211" s="234"/>
      <c r="AD211" s="234"/>
      <c r="AE211" s="234"/>
      <c r="AF211" s="589"/>
      <c r="AG211" s="589"/>
      <c r="AH211" s="589"/>
      <c r="AI211" s="589"/>
      <c r="AJ211" s="589"/>
      <c r="AK211" s="537"/>
    </row>
  </sheetData>
  <autoFilter ref="C8:BQ185"/>
  <dataConsolidate/>
  <mergeCells count="1018">
    <mergeCell ref="E2:AC4"/>
    <mergeCell ref="J176:J177"/>
    <mergeCell ref="K176:K177"/>
    <mergeCell ref="L176:L177"/>
    <mergeCell ref="G180:G181"/>
    <mergeCell ref="L155:L156"/>
    <mergeCell ref="K149:K152"/>
    <mergeCell ref="L147:L148"/>
    <mergeCell ref="K173:K174"/>
    <mergeCell ref="L173:L174"/>
    <mergeCell ref="L166:L169"/>
    <mergeCell ref="J166:J169"/>
    <mergeCell ref="J157:J158"/>
    <mergeCell ref="K166:K169"/>
    <mergeCell ref="G173:G174"/>
    <mergeCell ref="H173:H174"/>
    <mergeCell ref="I173:I174"/>
    <mergeCell ref="J173:J174"/>
    <mergeCell ref="H153:H154"/>
    <mergeCell ref="I153:I154"/>
    <mergeCell ref="K157:K158"/>
    <mergeCell ref="G176:G177"/>
    <mergeCell ref="H176:H177"/>
    <mergeCell ref="I176:I177"/>
    <mergeCell ref="I155:I156"/>
    <mergeCell ref="I147:I148"/>
    <mergeCell ref="I160:I161"/>
    <mergeCell ref="J160:J161"/>
    <mergeCell ref="H160:H161"/>
    <mergeCell ref="G147:G148"/>
    <mergeCell ref="G149:G152"/>
    <mergeCell ref="G160:G161"/>
    <mergeCell ref="K147:K148"/>
    <mergeCell ref="A182:A184"/>
    <mergeCell ref="B182:B184"/>
    <mergeCell ref="C182:C184"/>
    <mergeCell ref="D182:D184"/>
    <mergeCell ref="E182:E184"/>
    <mergeCell ref="F182:F184"/>
    <mergeCell ref="G182:G184"/>
    <mergeCell ref="H182:H184"/>
    <mergeCell ref="I182:I184"/>
    <mergeCell ref="R157:R158"/>
    <mergeCell ref="G157:G158"/>
    <mergeCell ref="I157:I158"/>
    <mergeCell ref="H178:H179"/>
    <mergeCell ref="F178:F179"/>
    <mergeCell ref="D165:D169"/>
    <mergeCell ref="F160:F161"/>
    <mergeCell ref="E160:E161"/>
    <mergeCell ref="E178:E179"/>
    <mergeCell ref="G178:G179"/>
    <mergeCell ref="N160:N161"/>
    <mergeCell ref="O160:O161"/>
    <mergeCell ref="P160:P161"/>
    <mergeCell ref="Q160:Q161"/>
    <mergeCell ref="R160:R161"/>
    <mergeCell ref="M182:M184"/>
    <mergeCell ref="N182:N184"/>
    <mergeCell ref="B165:B175"/>
    <mergeCell ref="O182:O184"/>
    <mergeCell ref="Q182:Q184"/>
    <mergeCell ref="G171:G172"/>
    <mergeCell ref="H157:H158"/>
    <mergeCell ref="J182:J184"/>
    <mergeCell ref="E15:E16"/>
    <mergeCell ref="I15:I16"/>
    <mergeCell ref="H26:H28"/>
    <mergeCell ref="F33:F34"/>
    <mergeCell ref="G39:G40"/>
    <mergeCell ref="H39:H40"/>
    <mergeCell ref="F29:F32"/>
    <mergeCell ref="G29:G32"/>
    <mergeCell ref="G35:G38"/>
    <mergeCell ref="F35:F38"/>
    <mergeCell ref="F39:F40"/>
    <mergeCell ref="H35:H38"/>
    <mergeCell ref="F26:F28"/>
    <mergeCell ref="G26:G28"/>
    <mergeCell ref="F41:F42"/>
    <mergeCell ref="E45:E46"/>
    <mergeCell ref="F22:F25"/>
    <mergeCell ref="G22:G25"/>
    <mergeCell ref="H22:H25"/>
    <mergeCell ref="I22:I25"/>
    <mergeCell ref="F17:F19"/>
    <mergeCell ref="G17:G19"/>
    <mergeCell ref="H17:H19"/>
    <mergeCell ref="E41:E42"/>
    <mergeCell ref="E29:E32"/>
    <mergeCell ref="E22:E25"/>
    <mergeCell ref="E35:E38"/>
    <mergeCell ref="E39:E40"/>
    <mergeCell ref="I17:I19"/>
    <mergeCell ref="AG136:AG137"/>
    <mergeCell ref="AH136:AH137"/>
    <mergeCell ref="AI136:AI137"/>
    <mergeCell ref="AJ136:AJ137"/>
    <mergeCell ref="AD136:AD137"/>
    <mergeCell ref="AC136:AC137"/>
    <mergeCell ref="AF171:AF172"/>
    <mergeCell ref="AG171:AG172"/>
    <mergeCell ref="AH171:AH172"/>
    <mergeCell ref="AK136:AK137"/>
    <mergeCell ref="AF136:AF137"/>
    <mergeCell ref="AE136:AE137"/>
    <mergeCell ref="AA136:AA137"/>
    <mergeCell ref="AI180:AI181"/>
    <mergeCell ref="AJ180:AJ181"/>
    <mergeCell ref="AB136:AB137"/>
    <mergeCell ref="AJ171:AJ172"/>
    <mergeCell ref="AC180:AC181"/>
    <mergeCell ref="AH180:AH181"/>
    <mergeCell ref="AI171:AI172"/>
    <mergeCell ref="AE180:AE181"/>
    <mergeCell ref="AF180:AF181"/>
    <mergeCell ref="AG180:AG181"/>
    <mergeCell ref="Y136:Y137"/>
    <mergeCell ref="Q129:Q130"/>
    <mergeCell ref="Q141:Q143"/>
    <mergeCell ref="Q117:Q118"/>
    <mergeCell ref="R117:R118"/>
    <mergeCell ref="Q134:Q135"/>
    <mergeCell ref="R134:R135"/>
    <mergeCell ref="Q136:Q137"/>
    <mergeCell ref="R136:R137"/>
    <mergeCell ref="Q122:Q124"/>
    <mergeCell ref="R122:R124"/>
    <mergeCell ref="Z136:Z137"/>
    <mergeCell ref="Y123:Y124"/>
    <mergeCell ref="X123:X124"/>
    <mergeCell ref="U123:U124"/>
    <mergeCell ref="V123:V124"/>
    <mergeCell ref="W123:W124"/>
    <mergeCell ref="R141:R143"/>
    <mergeCell ref="T123:T124"/>
    <mergeCell ref="S123:S124"/>
    <mergeCell ref="U136:U137"/>
    <mergeCell ref="V136:V137"/>
    <mergeCell ref="W136:W137"/>
    <mergeCell ref="AF7:AF8"/>
    <mergeCell ref="M89:M90"/>
    <mergeCell ref="O100:O102"/>
    <mergeCell ref="P100:P102"/>
    <mergeCell ref="AD101:AD102"/>
    <mergeCell ref="AE101:AE102"/>
    <mergeCell ref="J132:J133"/>
    <mergeCell ref="K136:K137"/>
    <mergeCell ref="L134:L135"/>
    <mergeCell ref="M132:M133"/>
    <mergeCell ref="N132:N133"/>
    <mergeCell ref="O129:O130"/>
    <mergeCell ref="K145:K146"/>
    <mergeCell ref="M155:M156"/>
    <mergeCell ref="P134:P135"/>
    <mergeCell ref="P136:P137"/>
    <mergeCell ref="R129:R130"/>
    <mergeCell ref="R132:R133"/>
    <mergeCell ref="Q132:Q133"/>
    <mergeCell ref="S136:S137"/>
    <mergeCell ref="J141:J143"/>
    <mergeCell ref="K141:K143"/>
    <mergeCell ref="N129:N130"/>
    <mergeCell ref="R147:R148"/>
    <mergeCell ref="R145:R146"/>
    <mergeCell ref="R155:R156"/>
    <mergeCell ref="J145:J146"/>
    <mergeCell ref="Q147:Q148"/>
    <mergeCell ref="T136:T137"/>
    <mergeCell ref="X136:X137"/>
    <mergeCell ref="AA123:AA124"/>
    <mergeCell ref="T7:T8"/>
    <mergeCell ref="Q62:Q63"/>
    <mergeCell ref="Q41:Q42"/>
    <mergeCell ref="P43:P44"/>
    <mergeCell ref="P45:P46"/>
    <mergeCell ref="Q89:Q90"/>
    <mergeCell ref="Q47:Q49"/>
    <mergeCell ref="R47:R49"/>
    <mergeCell ref="Q17:Q19"/>
    <mergeCell ref="R17:R19"/>
    <mergeCell ref="Q35:Q38"/>
    <mergeCell ref="R35:R38"/>
    <mergeCell ref="R29:R32"/>
    <mergeCell ref="R96:R97"/>
    <mergeCell ref="Q53:Q54"/>
    <mergeCell ref="P55:P58"/>
    <mergeCell ref="Q55:Q58"/>
    <mergeCell ref="P62:P63"/>
    <mergeCell ref="Q59:Q61"/>
    <mergeCell ref="R80:R82"/>
    <mergeCell ref="R43:R44"/>
    <mergeCell ref="P59:P61"/>
    <mergeCell ref="R55:R58"/>
    <mergeCell ref="R41:R42"/>
    <mergeCell ref="R53:R54"/>
    <mergeCell ref="X101:X102"/>
    <mergeCell ref="K107:K110"/>
    <mergeCell ref="S7:S8"/>
    <mergeCell ref="J15:J16"/>
    <mergeCell ref="K15:K16"/>
    <mergeCell ref="L15:L16"/>
    <mergeCell ref="M15:M16"/>
    <mergeCell ref="N15:N16"/>
    <mergeCell ref="L22:L25"/>
    <mergeCell ref="K22:K25"/>
    <mergeCell ref="J22:J25"/>
    <mergeCell ref="P69:P71"/>
    <mergeCell ref="J93:J95"/>
    <mergeCell ref="O93:O95"/>
    <mergeCell ref="K43:K44"/>
    <mergeCell ref="L41:L42"/>
    <mergeCell ref="M43:M44"/>
    <mergeCell ref="J43:J44"/>
    <mergeCell ref="R62:R63"/>
    <mergeCell ref="P64:P67"/>
    <mergeCell ref="Q64:Q67"/>
    <mergeCell ref="R64:R67"/>
    <mergeCell ref="R15:R16"/>
    <mergeCell ref="J33:J34"/>
    <mergeCell ref="P96:P97"/>
    <mergeCell ref="M100:M102"/>
    <mergeCell ref="U7:U8"/>
    <mergeCell ref="R22:R25"/>
    <mergeCell ref="P80:P82"/>
    <mergeCell ref="Q80:Q82"/>
    <mergeCell ref="Q84:Q86"/>
    <mergeCell ref="A1:AK1"/>
    <mergeCell ref="A2:D4"/>
    <mergeCell ref="AD6:AK6"/>
    <mergeCell ref="C64:C68"/>
    <mergeCell ref="B64:B68"/>
    <mergeCell ref="D64:D68"/>
    <mergeCell ref="V7:AA7"/>
    <mergeCell ref="E6:F6"/>
    <mergeCell ref="B53:B63"/>
    <mergeCell ref="C22:C42"/>
    <mergeCell ref="C53:C63"/>
    <mergeCell ref="AK7:AK8"/>
    <mergeCell ref="F7:F8"/>
    <mergeCell ref="G7:G8"/>
    <mergeCell ref="H7:H8"/>
    <mergeCell ref="I7:I8"/>
    <mergeCell ref="Q7:Q8"/>
    <mergeCell ref="B9:B12"/>
    <mergeCell ref="C9:C12"/>
    <mergeCell ref="AG7:AG8"/>
    <mergeCell ref="AH7:AH8"/>
    <mergeCell ref="R39:R40"/>
    <mergeCell ref="O43:O44"/>
    <mergeCell ref="AD7:AD8"/>
    <mergeCell ref="AE7:AE8"/>
    <mergeCell ref="AI7:AI8"/>
    <mergeCell ref="D9:D12"/>
    <mergeCell ref="P7:P8"/>
    <mergeCell ref="N7:N8"/>
    <mergeCell ref="O7:O8"/>
    <mergeCell ref="J7:J8"/>
    <mergeCell ref="P41:P42"/>
    <mergeCell ref="AJ7:AJ8"/>
    <mergeCell ref="I35:I38"/>
    <mergeCell ref="H55:H58"/>
    <mergeCell ref="O15:O16"/>
    <mergeCell ref="K17:K19"/>
    <mergeCell ref="N22:N25"/>
    <mergeCell ref="P84:P86"/>
    <mergeCell ref="O80:O82"/>
    <mergeCell ref="Q39:Q40"/>
    <mergeCell ref="Q33:Q34"/>
    <mergeCell ref="R7:R8"/>
    <mergeCell ref="L7:L8"/>
    <mergeCell ref="M7:M8"/>
    <mergeCell ref="K7:K8"/>
    <mergeCell ref="J41:J42"/>
    <mergeCell ref="R33:R34"/>
    <mergeCell ref="R26:R28"/>
    <mergeCell ref="Q69:Q71"/>
    <mergeCell ref="L17:L19"/>
    <mergeCell ref="M17:M19"/>
    <mergeCell ref="N17:N19"/>
    <mergeCell ref="O17:O19"/>
    <mergeCell ref="P15:P16"/>
    <mergeCell ref="P29:P32"/>
    <mergeCell ref="M22:M25"/>
    <mergeCell ref="P77:P78"/>
    <mergeCell ref="Q77:Q78"/>
    <mergeCell ref="J45:J46"/>
    <mergeCell ref="K45:K46"/>
    <mergeCell ref="K41:K42"/>
    <mergeCell ref="L43:L44"/>
    <mergeCell ref="H84:H86"/>
    <mergeCell ref="G64:G67"/>
    <mergeCell ref="F59:F61"/>
    <mergeCell ref="G55:G58"/>
    <mergeCell ref="G59:G61"/>
    <mergeCell ref="H64:H67"/>
    <mergeCell ref="H62:H63"/>
    <mergeCell ref="O77:O78"/>
    <mergeCell ref="I55:I58"/>
    <mergeCell ref="J55:J58"/>
    <mergeCell ref="M64:M67"/>
    <mergeCell ref="N64:N67"/>
    <mergeCell ref="O62:O63"/>
    <mergeCell ref="M62:M63"/>
    <mergeCell ref="I62:I63"/>
    <mergeCell ref="H59:H61"/>
    <mergeCell ref="F62:F63"/>
    <mergeCell ref="G62:G63"/>
    <mergeCell ref="L59:L61"/>
    <mergeCell ref="J62:J63"/>
    <mergeCell ref="O55:O58"/>
    <mergeCell ref="O64:O67"/>
    <mergeCell ref="N62:N63"/>
    <mergeCell ref="I64:I67"/>
    <mergeCell ref="J64:J67"/>
    <mergeCell ref="I59:I61"/>
    <mergeCell ref="J59:J61"/>
    <mergeCell ref="K64:K67"/>
    <mergeCell ref="L64:L67"/>
    <mergeCell ref="M59:M61"/>
    <mergeCell ref="N59:N61"/>
    <mergeCell ref="O59:O61"/>
    <mergeCell ref="J17:J19"/>
    <mergeCell ref="I77:I78"/>
    <mergeCell ref="I93:I95"/>
    <mergeCell ref="I84:I86"/>
    <mergeCell ref="L91:L92"/>
    <mergeCell ref="I80:I82"/>
    <mergeCell ref="K80:K82"/>
    <mergeCell ref="L80:L82"/>
    <mergeCell ref="O69:O71"/>
    <mergeCell ref="Q87:Q88"/>
    <mergeCell ref="I45:I46"/>
    <mergeCell ref="I41:I42"/>
    <mergeCell ref="I43:I44"/>
    <mergeCell ref="O89:O90"/>
    <mergeCell ref="P89:P90"/>
    <mergeCell ref="K59:K61"/>
    <mergeCell ref="J26:J28"/>
    <mergeCell ref="K26:K28"/>
    <mergeCell ref="L26:L28"/>
    <mergeCell ref="N89:N90"/>
    <mergeCell ref="O84:O86"/>
    <mergeCell ref="N77:N78"/>
    <mergeCell ref="J80:J82"/>
    <mergeCell ref="K62:K63"/>
    <mergeCell ref="L62:L63"/>
    <mergeCell ref="K55:K58"/>
    <mergeCell ref="L55:L58"/>
    <mergeCell ref="P22:P25"/>
    <mergeCell ref="Q22:Q25"/>
    <mergeCell ref="K33:K34"/>
    <mergeCell ref="J29:J32"/>
    <mergeCell ref="L50:L52"/>
    <mergeCell ref="R87:R88"/>
    <mergeCell ref="R91:R92"/>
    <mergeCell ref="O87:O88"/>
    <mergeCell ref="J91:J92"/>
    <mergeCell ref="K91:K92"/>
    <mergeCell ref="J87:J88"/>
    <mergeCell ref="R77:R78"/>
    <mergeCell ref="L77:L78"/>
    <mergeCell ref="N91:N92"/>
    <mergeCell ref="K93:K95"/>
    <mergeCell ref="L93:L95"/>
    <mergeCell ref="R93:R95"/>
    <mergeCell ref="K87:K88"/>
    <mergeCell ref="L87:L88"/>
    <mergeCell ref="K69:K71"/>
    <mergeCell ref="M87:M88"/>
    <mergeCell ref="J84:J86"/>
    <mergeCell ref="K84:K86"/>
    <mergeCell ref="O91:O92"/>
    <mergeCell ref="M91:M92"/>
    <mergeCell ref="N93:N95"/>
    <mergeCell ref="P93:P95"/>
    <mergeCell ref="P87:P88"/>
    <mergeCell ref="R69:R71"/>
    <mergeCell ref="E173:E174"/>
    <mergeCell ref="B178:B181"/>
    <mergeCell ref="E180:E181"/>
    <mergeCell ref="D147:D158"/>
    <mergeCell ref="F155:F156"/>
    <mergeCell ref="E155:E156"/>
    <mergeCell ref="F157:F158"/>
    <mergeCell ref="F149:F152"/>
    <mergeCell ref="E157:E158"/>
    <mergeCell ref="F145:F146"/>
    <mergeCell ref="F134:F135"/>
    <mergeCell ref="F171:F172"/>
    <mergeCell ref="E166:E169"/>
    <mergeCell ref="F166:F169"/>
    <mergeCell ref="D141:D143"/>
    <mergeCell ref="D170:D177"/>
    <mergeCell ref="F176:F177"/>
    <mergeCell ref="C165:C177"/>
    <mergeCell ref="E147:E148"/>
    <mergeCell ref="F147:F148"/>
    <mergeCell ref="E176:E177"/>
    <mergeCell ref="E162:E163"/>
    <mergeCell ref="B132:B146"/>
    <mergeCell ref="D145:D146"/>
    <mergeCell ref="C132:C146"/>
    <mergeCell ref="D132:D138"/>
    <mergeCell ref="F141:F143"/>
    <mergeCell ref="E132:E133"/>
    <mergeCell ref="E136:E137"/>
    <mergeCell ref="E134:E135"/>
    <mergeCell ref="F136:F137"/>
    <mergeCell ref="E149:E152"/>
    <mergeCell ref="C43:C52"/>
    <mergeCell ref="E153:E154"/>
    <mergeCell ref="F153:F154"/>
    <mergeCell ref="F162:F163"/>
    <mergeCell ref="F91:F92"/>
    <mergeCell ref="F84:F86"/>
    <mergeCell ref="F77:F78"/>
    <mergeCell ref="F87:F88"/>
    <mergeCell ref="C112:C131"/>
    <mergeCell ref="F93:F95"/>
    <mergeCell ref="F69:F71"/>
    <mergeCell ref="F64:F67"/>
    <mergeCell ref="E47:E49"/>
    <mergeCell ref="E113:E114"/>
    <mergeCell ref="E115:E116"/>
    <mergeCell ref="F89:F90"/>
    <mergeCell ref="F104:F105"/>
    <mergeCell ref="F80:F82"/>
    <mergeCell ref="C147:C164"/>
    <mergeCell ref="D159:D164"/>
    <mergeCell ref="F126:F128"/>
    <mergeCell ref="F45:F46"/>
    <mergeCell ref="F55:F58"/>
    <mergeCell ref="E126:E128"/>
    <mergeCell ref="E129:E130"/>
    <mergeCell ref="F96:F97"/>
    <mergeCell ref="B112:B131"/>
    <mergeCell ref="D113:D116"/>
    <mergeCell ref="C93:C95"/>
    <mergeCell ref="D96:D97"/>
    <mergeCell ref="B77:B78"/>
    <mergeCell ref="B80:B83"/>
    <mergeCell ref="D129:D131"/>
    <mergeCell ref="D69:D71"/>
    <mergeCell ref="C72:C73"/>
    <mergeCell ref="D72:D73"/>
    <mergeCell ref="C69:C71"/>
    <mergeCell ref="D43:D49"/>
    <mergeCell ref="C96:C111"/>
    <mergeCell ref="D98:D111"/>
    <mergeCell ref="B96:B111"/>
    <mergeCell ref="E62:E63"/>
    <mergeCell ref="E59:E61"/>
    <mergeCell ref="E55:E58"/>
    <mergeCell ref="E84:E86"/>
    <mergeCell ref="E91:E92"/>
    <mergeCell ref="E87:E88"/>
    <mergeCell ref="B74:B76"/>
    <mergeCell ref="E43:E44"/>
    <mergeCell ref="E69:E71"/>
    <mergeCell ref="E89:E90"/>
    <mergeCell ref="D77:D78"/>
    <mergeCell ref="C80:C83"/>
    <mergeCell ref="D74:D76"/>
    <mergeCell ref="D80:D83"/>
    <mergeCell ref="C74:C76"/>
    <mergeCell ref="C77:C78"/>
    <mergeCell ref="D126:D128"/>
    <mergeCell ref="B6:D6"/>
    <mergeCell ref="C7:C8"/>
    <mergeCell ref="D7:D8"/>
    <mergeCell ref="E145:E146"/>
    <mergeCell ref="E141:E143"/>
    <mergeCell ref="E93:E95"/>
    <mergeCell ref="E96:E97"/>
    <mergeCell ref="E117:E118"/>
    <mergeCell ref="B84:B92"/>
    <mergeCell ref="B72:B73"/>
    <mergeCell ref="B13:B19"/>
    <mergeCell ref="B20:B21"/>
    <mergeCell ref="C84:C92"/>
    <mergeCell ref="D84:D92"/>
    <mergeCell ref="D15:D16"/>
    <mergeCell ref="C13:C19"/>
    <mergeCell ref="D17:D19"/>
    <mergeCell ref="C20:C21"/>
    <mergeCell ref="D20:D21"/>
    <mergeCell ref="D50:D52"/>
    <mergeCell ref="B7:B8"/>
    <mergeCell ref="E17:E19"/>
    <mergeCell ref="E64:E67"/>
    <mergeCell ref="E80:E82"/>
    <mergeCell ref="B69:B71"/>
    <mergeCell ref="D53:D63"/>
    <mergeCell ref="D29:D34"/>
    <mergeCell ref="D35:D42"/>
    <mergeCell ref="B43:B52"/>
    <mergeCell ref="B93:B95"/>
    <mergeCell ref="D93:D95"/>
    <mergeCell ref="B22:B42"/>
    <mergeCell ref="Q15:Q16"/>
    <mergeCell ref="M26:M28"/>
    <mergeCell ref="N26:N28"/>
    <mergeCell ref="O26:O28"/>
    <mergeCell ref="P26:P28"/>
    <mergeCell ref="P17:P19"/>
    <mergeCell ref="Q29:Q32"/>
    <mergeCell ref="Q43:Q44"/>
    <mergeCell ref="M39:M40"/>
    <mergeCell ref="N39:N40"/>
    <mergeCell ref="N35:N38"/>
    <mergeCell ref="M35:M38"/>
    <mergeCell ref="K35:K38"/>
    <mergeCell ref="L33:L34"/>
    <mergeCell ref="L35:L38"/>
    <mergeCell ref="N33:N34"/>
    <mergeCell ref="P33:P34"/>
    <mergeCell ref="K29:K32"/>
    <mergeCell ref="K39:K40"/>
    <mergeCell ref="L39:L40"/>
    <mergeCell ref="N43:N44"/>
    <mergeCell ref="O41:O42"/>
    <mergeCell ref="M33:M34"/>
    <mergeCell ref="P39:P40"/>
    <mergeCell ref="M41:M42"/>
    <mergeCell ref="P35:P38"/>
    <mergeCell ref="M80:M82"/>
    <mergeCell ref="J69:J71"/>
    <mergeCell ref="Q26:Q28"/>
    <mergeCell ref="N47:N49"/>
    <mergeCell ref="O47:O49"/>
    <mergeCell ref="F47:F49"/>
    <mergeCell ref="O22:O25"/>
    <mergeCell ref="M29:M32"/>
    <mergeCell ref="H45:H46"/>
    <mergeCell ref="G41:G42"/>
    <mergeCell ref="H41:H42"/>
    <mergeCell ref="H43:H44"/>
    <mergeCell ref="G43:G44"/>
    <mergeCell ref="G33:G34"/>
    <mergeCell ref="D22:D28"/>
    <mergeCell ref="P47:P49"/>
    <mergeCell ref="L45:L46"/>
    <mergeCell ref="M45:M46"/>
    <mergeCell ref="J35:J38"/>
    <mergeCell ref="H29:H32"/>
    <mergeCell ref="H33:H34"/>
    <mergeCell ref="J39:J40"/>
    <mergeCell ref="H53:H54"/>
    <mergeCell ref="J53:J54"/>
    <mergeCell ref="I33:I34"/>
    <mergeCell ref="K47:K49"/>
    <mergeCell ref="L47:L49"/>
    <mergeCell ref="M47:M49"/>
    <mergeCell ref="I39:I40"/>
    <mergeCell ref="I29:I32"/>
    <mergeCell ref="G45:G46"/>
    <mergeCell ref="J47:J49"/>
    <mergeCell ref="E26:E28"/>
    <mergeCell ref="M50:M52"/>
    <mergeCell ref="N50:N52"/>
    <mergeCell ref="O50:O52"/>
    <mergeCell ref="E50:E52"/>
    <mergeCell ref="N41:N42"/>
    <mergeCell ref="N29:N32"/>
    <mergeCell ref="G53:G54"/>
    <mergeCell ref="F50:F52"/>
    <mergeCell ref="G50:G52"/>
    <mergeCell ref="F53:F54"/>
    <mergeCell ref="F43:F44"/>
    <mergeCell ref="I53:I54"/>
    <mergeCell ref="E53:E54"/>
    <mergeCell ref="L29:L32"/>
    <mergeCell ref="O29:O32"/>
    <mergeCell ref="O33:O34"/>
    <mergeCell ref="O35:O38"/>
    <mergeCell ref="O39:O40"/>
    <mergeCell ref="E33:E34"/>
    <mergeCell ref="G47:G49"/>
    <mergeCell ref="H47:H49"/>
    <mergeCell ref="I47:I49"/>
    <mergeCell ref="H50:H52"/>
    <mergeCell ref="I50:I52"/>
    <mergeCell ref="J50:J52"/>
    <mergeCell ref="K50:K52"/>
    <mergeCell ref="N80:N82"/>
    <mergeCell ref="L69:L71"/>
    <mergeCell ref="L84:L86"/>
    <mergeCell ref="K96:K97"/>
    <mergeCell ref="L98:L99"/>
    <mergeCell ref="K100:K102"/>
    <mergeCell ref="R50:R52"/>
    <mergeCell ref="N45:N46"/>
    <mergeCell ref="O45:O46"/>
    <mergeCell ref="R45:R46"/>
    <mergeCell ref="R59:R61"/>
    <mergeCell ref="M55:M58"/>
    <mergeCell ref="N55:N58"/>
    <mergeCell ref="K53:K54"/>
    <mergeCell ref="L53:L54"/>
    <mergeCell ref="M53:M54"/>
    <mergeCell ref="O53:O54"/>
    <mergeCell ref="N53:N54"/>
    <mergeCell ref="P53:P54"/>
    <mergeCell ref="Q50:Q52"/>
    <mergeCell ref="P50:P52"/>
    <mergeCell ref="Q45:Q46"/>
    <mergeCell ref="K77:K78"/>
    <mergeCell ref="M84:M86"/>
    <mergeCell ref="N69:N71"/>
    <mergeCell ref="M69:M71"/>
    <mergeCell ref="N84:N86"/>
    <mergeCell ref="M77:M78"/>
    <mergeCell ref="R89:R90"/>
    <mergeCell ref="P91:P92"/>
    <mergeCell ref="Q91:Q92"/>
    <mergeCell ref="N87:N88"/>
    <mergeCell ref="G69:G71"/>
    <mergeCell ref="G84:G86"/>
    <mergeCell ref="H117:H118"/>
    <mergeCell ref="I104:I105"/>
    <mergeCell ref="G96:G97"/>
    <mergeCell ref="H96:H97"/>
    <mergeCell ref="J100:J102"/>
    <mergeCell ref="G80:G82"/>
    <mergeCell ref="H80:H82"/>
    <mergeCell ref="H69:H71"/>
    <mergeCell ref="I69:I71"/>
    <mergeCell ref="H93:H95"/>
    <mergeCell ref="G77:G78"/>
    <mergeCell ref="H89:H90"/>
    <mergeCell ref="H77:H78"/>
    <mergeCell ref="I91:I92"/>
    <mergeCell ref="H91:H92"/>
    <mergeCell ref="H87:H88"/>
    <mergeCell ref="G91:G92"/>
    <mergeCell ref="J77:J78"/>
    <mergeCell ref="J96:J97"/>
    <mergeCell ref="J98:J99"/>
    <mergeCell ref="H107:H110"/>
    <mergeCell ref="I107:I110"/>
    <mergeCell ref="H104:H105"/>
    <mergeCell ref="I96:I97"/>
    <mergeCell ref="G89:G90"/>
    <mergeCell ref="I87:I88"/>
    <mergeCell ref="I89:I90"/>
    <mergeCell ref="J89:J90"/>
    <mergeCell ref="G87:G88"/>
    <mergeCell ref="E77:E78"/>
    <mergeCell ref="J115:J116"/>
    <mergeCell ref="J122:J124"/>
    <mergeCell ref="J117:J118"/>
    <mergeCell ref="I117:I118"/>
    <mergeCell ref="I100:I102"/>
    <mergeCell ref="G100:G102"/>
    <mergeCell ref="L89:L90"/>
    <mergeCell ref="K89:K90"/>
    <mergeCell ref="G126:G128"/>
    <mergeCell ref="H126:H128"/>
    <mergeCell ref="I126:I128"/>
    <mergeCell ref="J126:J128"/>
    <mergeCell ref="K126:K128"/>
    <mergeCell ref="L126:L128"/>
    <mergeCell ref="K132:K133"/>
    <mergeCell ref="F100:F102"/>
    <mergeCell ref="E104:E105"/>
    <mergeCell ref="L96:L97"/>
    <mergeCell ref="H100:H102"/>
    <mergeCell ref="F107:F110"/>
    <mergeCell ref="G93:G95"/>
    <mergeCell ref="E122:E124"/>
    <mergeCell ref="I115:I116"/>
    <mergeCell ref="K98:K99"/>
    <mergeCell ref="J129:J130"/>
    <mergeCell ref="K129:K130"/>
    <mergeCell ref="K113:K114"/>
    <mergeCell ref="H145:H146"/>
    <mergeCell ref="I145:I146"/>
    <mergeCell ref="H132:H133"/>
    <mergeCell ref="I136:I137"/>
    <mergeCell ref="H134:H135"/>
    <mergeCell ref="I134:I135"/>
    <mergeCell ref="H115:H116"/>
    <mergeCell ref="H141:H143"/>
    <mergeCell ref="L129:L130"/>
    <mergeCell ref="K115:K116"/>
    <mergeCell ref="G136:G137"/>
    <mergeCell ref="H136:H137"/>
    <mergeCell ref="J136:J137"/>
    <mergeCell ref="K134:K135"/>
    <mergeCell ref="J134:J135"/>
    <mergeCell ref="G107:G110"/>
    <mergeCell ref="J104:J105"/>
    <mergeCell ref="G104:G105"/>
    <mergeCell ref="L132:L133"/>
    <mergeCell ref="G115:G116"/>
    <mergeCell ref="G122:G124"/>
    <mergeCell ref="H122:H124"/>
    <mergeCell ref="F113:F114"/>
    <mergeCell ref="I141:I143"/>
    <mergeCell ref="I122:I124"/>
    <mergeCell ref="G129:G130"/>
    <mergeCell ref="H129:H130"/>
    <mergeCell ref="I129:I130"/>
    <mergeCell ref="G117:G118"/>
    <mergeCell ref="H149:H152"/>
    <mergeCell ref="I149:I152"/>
    <mergeCell ref="G155:G156"/>
    <mergeCell ref="H155:H156"/>
    <mergeCell ref="I113:I114"/>
    <mergeCell ref="J113:J114"/>
    <mergeCell ref="H113:H114"/>
    <mergeCell ref="L136:L137"/>
    <mergeCell ref="K117:K118"/>
    <mergeCell ref="L117:L118"/>
    <mergeCell ref="H147:H148"/>
    <mergeCell ref="G113:G114"/>
    <mergeCell ref="J147:J148"/>
    <mergeCell ref="M129:M130"/>
    <mergeCell ref="O115:O116"/>
    <mergeCell ref="P117:P118"/>
    <mergeCell ref="J153:J154"/>
    <mergeCell ref="K153:K154"/>
    <mergeCell ref="G162:G163"/>
    <mergeCell ref="H162:H163"/>
    <mergeCell ref="I162:I163"/>
    <mergeCell ref="J162:J163"/>
    <mergeCell ref="K162:K163"/>
    <mergeCell ref="G145:G146"/>
    <mergeCell ref="F129:F130"/>
    <mergeCell ref="F132:F133"/>
    <mergeCell ref="F122:F124"/>
    <mergeCell ref="F115:F116"/>
    <mergeCell ref="F117:F118"/>
    <mergeCell ref="G134:G135"/>
    <mergeCell ref="G141:G143"/>
    <mergeCell ref="P115:P116"/>
    <mergeCell ref="L107:L110"/>
    <mergeCell ref="M107:M110"/>
    <mergeCell ref="AA101:AA102"/>
    <mergeCell ref="Q113:Q114"/>
    <mergeCell ref="P104:P105"/>
    <mergeCell ref="R113:R114"/>
    <mergeCell ref="M115:M116"/>
    <mergeCell ref="L100:L102"/>
    <mergeCell ref="J107:J110"/>
    <mergeCell ref="AK123:AK124"/>
    <mergeCell ref="AH123:AH124"/>
    <mergeCell ref="AI123:AI124"/>
    <mergeCell ref="AJ123:AJ124"/>
    <mergeCell ref="L104:L105"/>
    <mergeCell ref="AF123:AF124"/>
    <mergeCell ref="Z123:Z124"/>
    <mergeCell ref="Q115:Q116"/>
    <mergeCell ref="R115:R116"/>
    <mergeCell ref="Q100:Q102"/>
    <mergeCell ref="R100:R102"/>
    <mergeCell ref="AF101:AF102"/>
    <mergeCell ref="Y101:Y102"/>
    <mergeCell ref="Z101:Z102"/>
    <mergeCell ref="Q104:Q105"/>
    <mergeCell ref="R104:R105"/>
    <mergeCell ref="N107:N110"/>
    <mergeCell ref="N113:N114"/>
    <mergeCell ref="M113:M114"/>
    <mergeCell ref="M104:M105"/>
    <mergeCell ref="V101:V102"/>
    <mergeCell ref="W101:W102"/>
    <mergeCell ref="K104:K105"/>
    <mergeCell ref="M96:M97"/>
    <mergeCell ref="N96:N97"/>
    <mergeCell ref="AB123:AB124"/>
    <mergeCell ref="AC101:AC102"/>
    <mergeCell ref="AK101:AK102"/>
    <mergeCell ref="M117:M118"/>
    <mergeCell ref="N122:N124"/>
    <mergeCell ref="N117:N118"/>
    <mergeCell ref="M122:M124"/>
    <mergeCell ref="N115:N116"/>
    <mergeCell ref="S101:S102"/>
    <mergeCell ref="Q93:Q95"/>
    <mergeCell ref="AI101:AI102"/>
    <mergeCell ref="AJ101:AJ102"/>
    <mergeCell ref="AG123:AG124"/>
    <mergeCell ref="AB101:AB102"/>
    <mergeCell ref="T101:T102"/>
    <mergeCell ref="U101:U102"/>
    <mergeCell ref="AG101:AG102"/>
    <mergeCell ref="O107:O110"/>
    <mergeCell ref="P107:P110"/>
    <mergeCell ref="N100:N102"/>
    <mergeCell ref="P98:P99"/>
    <mergeCell ref="Q98:Q99"/>
    <mergeCell ref="R98:R99"/>
    <mergeCell ref="O96:O97"/>
    <mergeCell ref="Q96:Q97"/>
    <mergeCell ref="O136:O137"/>
    <mergeCell ref="M136:M137"/>
    <mergeCell ref="N136:N137"/>
    <mergeCell ref="L141:L143"/>
    <mergeCell ref="M141:M143"/>
    <mergeCell ref="Q107:Q110"/>
    <mergeCell ref="R107:R110"/>
    <mergeCell ref="AH101:AH102"/>
    <mergeCell ref="P122:P124"/>
    <mergeCell ref="P129:P130"/>
    <mergeCell ref="N145:N146"/>
    <mergeCell ref="L145:L146"/>
    <mergeCell ref="N134:N135"/>
    <mergeCell ref="Q145:Q146"/>
    <mergeCell ref="P141:P143"/>
    <mergeCell ref="O141:O143"/>
    <mergeCell ref="O117:O118"/>
    <mergeCell ref="O113:O114"/>
    <mergeCell ref="P132:P133"/>
    <mergeCell ref="M126:M128"/>
    <mergeCell ref="N126:N128"/>
    <mergeCell ref="O126:O128"/>
    <mergeCell ref="P126:P128"/>
    <mergeCell ref="Q126:Q128"/>
    <mergeCell ref="O104:O105"/>
    <mergeCell ref="O132:O133"/>
    <mergeCell ref="O134:O135"/>
    <mergeCell ref="P113:P114"/>
    <mergeCell ref="AE123:AE124"/>
    <mergeCell ref="AD123:AD124"/>
    <mergeCell ref="AC123:AC124"/>
    <mergeCell ref="O122:O124"/>
    <mergeCell ref="A7:A8"/>
    <mergeCell ref="A9:A21"/>
    <mergeCell ref="A22:A95"/>
    <mergeCell ref="A96:A181"/>
    <mergeCell ref="M180:M181"/>
    <mergeCell ref="N180:N181"/>
    <mergeCell ref="H180:H181"/>
    <mergeCell ref="I180:I181"/>
    <mergeCell ref="J180:J181"/>
    <mergeCell ref="K180:K181"/>
    <mergeCell ref="L180:L181"/>
    <mergeCell ref="N149:N152"/>
    <mergeCell ref="M93:M95"/>
    <mergeCell ref="E98:E99"/>
    <mergeCell ref="F98:F99"/>
    <mergeCell ref="G98:G99"/>
    <mergeCell ref="H98:H99"/>
    <mergeCell ref="I98:I99"/>
    <mergeCell ref="I26:I28"/>
    <mergeCell ref="G132:G133"/>
    <mergeCell ref="M166:M169"/>
    <mergeCell ref="K171:K172"/>
    <mergeCell ref="L171:L172"/>
    <mergeCell ref="D178:D181"/>
    <mergeCell ref="N166:N169"/>
    <mergeCell ref="F180:F181"/>
    <mergeCell ref="N141:N143"/>
    <mergeCell ref="M98:M99"/>
    <mergeCell ref="N98:N99"/>
    <mergeCell ref="K122:K124"/>
    <mergeCell ref="E100:E102"/>
    <mergeCell ref="E107:E110"/>
    <mergeCell ref="E171:E172"/>
    <mergeCell ref="B147:B164"/>
    <mergeCell ref="I166:I169"/>
    <mergeCell ref="H171:H172"/>
    <mergeCell ref="G153:G154"/>
    <mergeCell ref="M147:M148"/>
    <mergeCell ref="N147:N148"/>
    <mergeCell ref="M162:M163"/>
    <mergeCell ref="A185:B187"/>
    <mergeCell ref="T185:AH185"/>
    <mergeCell ref="T186:AH186"/>
    <mergeCell ref="C186:S186"/>
    <mergeCell ref="C185:S185"/>
    <mergeCell ref="AB180:AB181"/>
    <mergeCell ref="G166:G169"/>
    <mergeCell ref="H166:H169"/>
    <mergeCell ref="I178:I179"/>
    <mergeCell ref="Q162:Q163"/>
    <mergeCell ref="R162:R163"/>
    <mergeCell ref="P162:P163"/>
    <mergeCell ref="Y171:Y172"/>
    <mergeCell ref="Z171:Z172"/>
    <mergeCell ref="AA171:AA172"/>
    <mergeCell ref="AB171:AB172"/>
    <mergeCell ref="AC171:AC172"/>
    <mergeCell ref="AD171:AD172"/>
    <mergeCell ref="AE171:AE172"/>
    <mergeCell ref="N162:N163"/>
    <mergeCell ref="O162:O163"/>
    <mergeCell ref="I171:I172"/>
    <mergeCell ref="J171:J172"/>
    <mergeCell ref="F173:F174"/>
    <mergeCell ref="C178:C181"/>
    <mergeCell ref="P155:P156"/>
    <mergeCell ref="Q155:Q156"/>
    <mergeCell ref="L160:L161"/>
    <mergeCell ref="R84:R86"/>
    <mergeCell ref="L113:L114"/>
    <mergeCell ref="N104:N105"/>
    <mergeCell ref="O98:O99"/>
    <mergeCell ref="J149:J152"/>
    <mergeCell ref="K160:K161"/>
    <mergeCell ref="R126:R128"/>
    <mergeCell ref="D117:D125"/>
    <mergeCell ref="M134:M135"/>
    <mergeCell ref="I132:I133"/>
    <mergeCell ref="J155:J156"/>
    <mergeCell ref="K155:K156"/>
    <mergeCell ref="N155:N156"/>
    <mergeCell ref="L157:L158"/>
    <mergeCell ref="M157:M158"/>
    <mergeCell ref="N157:N158"/>
    <mergeCell ref="L115:L116"/>
    <mergeCell ref="L122:L124"/>
    <mergeCell ref="M145:M146"/>
    <mergeCell ref="P145:P146"/>
    <mergeCell ref="P153:P154"/>
    <mergeCell ref="Q153:Q154"/>
    <mergeCell ref="R153:R154"/>
    <mergeCell ref="M160:M161"/>
    <mergeCell ref="L149:L152"/>
    <mergeCell ref="M149:M152"/>
    <mergeCell ref="O157:O158"/>
    <mergeCell ref="O147:O148"/>
    <mergeCell ref="AA192:AB193"/>
    <mergeCell ref="AC192:AE193"/>
    <mergeCell ref="T194:X210"/>
    <mergeCell ref="P147:P148"/>
    <mergeCell ref="W171:W172"/>
    <mergeCell ref="X171:X172"/>
    <mergeCell ref="M176:M177"/>
    <mergeCell ref="N176:N177"/>
    <mergeCell ref="O176:O177"/>
    <mergeCell ref="P176:P177"/>
    <mergeCell ref="M173:M174"/>
    <mergeCell ref="N173:N174"/>
    <mergeCell ref="O173:O174"/>
    <mergeCell ref="P173:P174"/>
    <mergeCell ref="Q173:Q174"/>
    <mergeCell ref="R173:R174"/>
    <mergeCell ref="L162:L163"/>
    <mergeCell ref="Q176:Q177"/>
    <mergeCell ref="R176:R177"/>
    <mergeCell ref="AD180:AD181"/>
    <mergeCell ref="R180:R181"/>
    <mergeCell ref="S171:S172"/>
    <mergeCell ref="U171:U172"/>
    <mergeCell ref="V171:V172"/>
    <mergeCell ref="P182:P184"/>
    <mergeCell ref="Q157:Q158"/>
    <mergeCell ref="N178:N179"/>
    <mergeCell ref="O178:O179"/>
    <mergeCell ref="L182:L184"/>
    <mergeCell ref="L153:L154"/>
    <mergeCell ref="Q149:Q152"/>
    <mergeCell ref="R149:R152"/>
    <mergeCell ref="O145:O146"/>
    <mergeCell ref="M153:M154"/>
    <mergeCell ref="N153:N154"/>
    <mergeCell ref="O153:O154"/>
    <mergeCell ref="P157:P158"/>
    <mergeCell ref="O155:O156"/>
    <mergeCell ref="AK193:AK194"/>
    <mergeCell ref="AF193:AJ194"/>
    <mergeCell ref="AF191:AK192"/>
    <mergeCell ref="AF195:AJ211"/>
    <mergeCell ref="P178:P179"/>
    <mergeCell ref="Q178:Q179"/>
    <mergeCell ref="R178:R179"/>
    <mergeCell ref="J178:J179"/>
    <mergeCell ref="K178:K179"/>
    <mergeCell ref="Z180:Z181"/>
    <mergeCell ref="AA180:AA181"/>
    <mergeCell ref="S180:S181"/>
    <mergeCell ref="AK180:AK181"/>
    <mergeCell ref="V180:V181"/>
    <mergeCell ref="W180:W181"/>
    <mergeCell ref="X180:X181"/>
    <mergeCell ref="M178:M179"/>
    <mergeCell ref="L178:L179"/>
    <mergeCell ref="O180:O181"/>
    <mergeCell ref="R182:R184"/>
    <mergeCell ref="K182:K184"/>
    <mergeCell ref="T190:AE191"/>
    <mergeCell ref="T192:X193"/>
    <mergeCell ref="Y192:Z193"/>
    <mergeCell ref="AG2:AK2"/>
    <mergeCell ref="AG3:AK3"/>
    <mergeCell ref="AG4:AK4"/>
    <mergeCell ref="AD2:AF2"/>
    <mergeCell ref="AD3:AF3"/>
    <mergeCell ref="AD4:AF4"/>
    <mergeCell ref="A5:AK5"/>
    <mergeCell ref="AK195:AK211"/>
    <mergeCell ref="AC194:AE210"/>
    <mergeCell ref="AA194:AB210"/>
    <mergeCell ref="Y194:Z210"/>
    <mergeCell ref="AI185:AK185"/>
    <mergeCell ref="AI186:AK186"/>
    <mergeCell ref="C187:AK187"/>
    <mergeCell ref="R166:R169"/>
    <mergeCell ref="M171:M172"/>
    <mergeCell ref="N171:N172"/>
    <mergeCell ref="O171:O172"/>
    <mergeCell ref="P171:P172"/>
    <mergeCell ref="Q171:Q172"/>
    <mergeCell ref="R171:R172"/>
    <mergeCell ref="O166:O169"/>
    <mergeCell ref="P180:P181"/>
    <mergeCell ref="Q180:Q181"/>
    <mergeCell ref="P166:P169"/>
    <mergeCell ref="Q166:Q169"/>
    <mergeCell ref="Y180:Y181"/>
    <mergeCell ref="T180:T181"/>
    <mergeCell ref="U180:U181"/>
    <mergeCell ref="T171:T172"/>
    <mergeCell ref="O149:O152"/>
    <mergeCell ref="P149:P152"/>
  </mergeCells>
  <conditionalFormatting sqref="M53 M55 M72:M77 M59 M62 M131 M17:M18 M68:M69 M64 M139:M141 M144:M145 M107 M112:M113 M20:M22 M26 M29 M33 M35 M41 M39 M43 M45 M50 M47 AE9:AE101 M9:M15 AE182:AE184 M119:M122 M129 M170:M171 AE173:AE180 M125:M126 AE125:AE136 M165:M166 AE138:AE171 AE103:AE123">
    <cfRule type="cellIs" dxfId="291" priority="5035" operator="equal">
      <formula>"Muy Alta"</formula>
    </cfRule>
    <cfRule type="cellIs" dxfId="290" priority="5036" operator="equal">
      <formula>"Alta"</formula>
    </cfRule>
    <cfRule type="cellIs" dxfId="289" priority="5037" operator="equal">
      <formula>"Media"</formula>
    </cfRule>
    <cfRule type="cellIs" dxfId="288" priority="5038" operator="equal">
      <formula>"Baja"</formula>
    </cfRule>
    <cfRule type="cellIs" dxfId="287" priority="5039" operator="equal">
      <formula>"Muy Baja"</formula>
    </cfRule>
  </conditionalFormatting>
  <conditionalFormatting sqref="M79:M80 M93 M91 M83:M85 M87 M96 M98 M89">
    <cfRule type="cellIs" dxfId="286" priority="4758" operator="equal">
      <formula>"Muy Alta"</formula>
    </cfRule>
    <cfRule type="cellIs" dxfId="285" priority="4759" operator="equal">
      <formula>"Alta"</formula>
    </cfRule>
    <cfRule type="cellIs" dxfId="284" priority="4760" operator="equal">
      <formula>"Media"</formula>
    </cfRule>
    <cfRule type="cellIs" dxfId="283" priority="4761" operator="equal">
      <formula>"Baja"</formula>
    </cfRule>
    <cfRule type="cellIs" dxfId="282" priority="4762" operator="equal">
      <formula>"Muy Baja"</formula>
    </cfRule>
  </conditionalFormatting>
  <conditionalFormatting sqref="M100">
    <cfRule type="cellIs" dxfId="281" priority="4192" operator="equal">
      <formula>"Muy Alta"</formula>
    </cfRule>
    <cfRule type="cellIs" dxfId="280" priority="4193" operator="equal">
      <formula>"Alta"</formula>
    </cfRule>
    <cfRule type="cellIs" dxfId="279" priority="4194" operator="equal">
      <formula>"Media"</formula>
    </cfRule>
    <cfRule type="cellIs" dxfId="278" priority="4195" operator="equal">
      <formula>"Baja"</formula>
    </cfRule>
    <cfRule type="cellIs" dxfId="277" priority="4196" operator="equal">
      <formula>"Muy Baja"</formula>
    </cfRule>
  </conditionalFormatting>
  <conditionalFormatting sqref="M103 M117 M115 M106">
    <cfRule type="cellIs" dxfId="276" priority="3746" operator="equal">
      <formula>"Muy Alta"</formula>
    </cfRule>
    <cfRule type="cellIs" dxfId="275" priority="3747" operator="equal">
      <formula>"Alta"</formula>
    </cfRule>
    <cfRule type="cellIs" dxfId="274" priority="3748" operator="equal">
      <formula>"Media"</formula>
    </cfRule>
    <cfRule type="cellIs" dxfId="273" priority="3749" operator="equal">
      <formula>"Baja"</formula>
    </cfRule>
    <cfRule type="cellIs" dxfId="272" priority="3750" operator="equal">
      <formula>"Muy Baja"</formula>
    </cfRule>
  </conditionalFormatting>
  <conditionalFormatting sqref="M132">
    <cfRule type="cellIs" dxfId="271" priority="2844" operator="equal">
      <formula>"Muy Alta"</formula>
    </cfRule>
    <cfRule type="cellIs" dxfId="270" priority="2845" operator="equal">
      <formula>"Alta"</formula>
    </cfRule>
    <cfRule type="cellIs" dxfId="269" priority="2846" operator="equal">
      <formula>"Media"</formula>
    </cfRule>
    <cfRule type="cellIs" dxfId="268" priority="2847" operator="equal">
      <formula>"Baja"</formula>
    </cfRule>
    <cfRule type="cellIs" dxfId="267" priority="2848" operator="equal">
      <formula>"Muy Baja"</formula>
    </cfRule>
  </conditionalFormatting>
  <conditionalFormatting sqref="M134">
    <cfRule type="cellIs" dxfId="266" priority="2858" operator="equal">
      <formula>"Muy Alta"</formula>
    </cfRule>
    <cfRule type="cellIs" dxfId="265" priority="2859" operator="equal">
      <formula>"Alta"</formula>
    </cfRule>
    <cfRule type="cellIs" dxfId="264" priority="2860" operator="equal">
      <formula>"Media"</formula>
    </cfRule>
    <cfRule type="cellIs" dxfId="263" priority="2861" operator="equal">
      <formula>"Baja"</formula>
    </cfRule>
    <cfRule type="cellIs" dxfId="262" priority="2862" operator="equal">
      <formula>"Muy Baja"</formula>
    </cfRule>
  </conditionalFormatting>
  <conditionalFormatting sqref="M136 M138">
    <cfRule type="cellIs" dxfId="261" priority="2658" operator="equal">
      <formula>"Muy Alta"</formula>
    </cfRule>
    <cfRule type="cellIs" dxfId="260" priority="2659" operator="equal">
      <formula>"Alta"</formula>
    </cfRule>
    <cfRule type="cellIs" dxfId="259" priority="2660" operator="equal">
      <formula>"Media"</formula>
    </cfRule>
    <cfRule type="cellIs" dxfId="258" priority="2661" operator="equal">
      <formula>"Baja"</formula>
    </cfRule>
    <cfRule type="cellIs" dxfId="257" priority="2662" operator="equal">
      <formula>"Muy Baja"</formula>
    </cfRule>
  </conditionalFormatting>
  <conditionalFormatting sqref="M147">
    <cfRule type="cellIs" dxfId="256" priority="1888" operator="equal">
      <formula>"Muy Alta"</formula>
    </cfRule>
    <cfRule type="cellIs" dxfId="255" priority="1889" operator="equal">
      <formula>"Alta"</formula>
    </cfRule>
    <cfRule type="cellIs" dxfId="254" priority="1890" operator="equal">
      <formula>"Media"</formula>
    </cfRule>
    <cfRule type="cellIs" dxfId="253" priority="1891" operator="equal">
      <formula>"Baja"</formula>
    </cfRule>
    <cfRule type="cellIs" dxfId="252" priority="1892" operator="equal">
      <formula>"Muy Baja"</formula>
    </cfRule>
  </conditionalFormatting>
  <conditionalFormatting sqref="M157 M149 M153 M155 M159:M160 M162 M164">
    <cfRule type="cellIs" dxfId="251" priority="327" operator="equal">
      <formula>"Muy Alta"</formula>
    </cfRule>
    <cfRule type="cellIs" dxfId="250" priority="328" operator="equal">
      <formula>"Alta"</formula>
    </cfRule>
    <cfRule type="cellIs" dxfId="249" priority="329" operator="equal">
      <formula>"Media"</formula>
    </cfRule>
    <cfRule type="cellIs" dxfId="248" priority="330" operator="equal">
      <formula>"Baja"</formula>
    </cfRule>
    <cfRule type="cellIs" dxfId="247" priority="331" operator="equal">
      <formula>"Muy Baja"</formula>
    </cfRule>
  </conditionalFormatting>
  <conditionalFormatting sqref="M173">
    <cfRule type="cellIs" dxfId="246" priority="1353" operator="equal">
      <formula>"Muy Alta"</formula>
    </cfRule>
    <cfRule type="cellIs" dxfId="245" priority="1354" operator="equal">
      <formula>"Alta"</formula>
    </cfRule>
    <cfRule type="cellIs" dxfId="244" priority="1355" operator="equal">
      <formula>"Media"</formula>
    </cfRule>
    <cfRule type="cellIs" dxfId="243" priority="1356" operator="equal">
      <formula>"Baja"</formula>
    </cfRule>
    <cfRule type="cellIs" dxfId="242" priority="1357" operator="equal">
      <formula>"Muy Baja"</formula>
    </cfRule>
  </conditionalFormatting>
  <conditionalFormatting sqref="M180 M175:M176 M178">
    <cfRule type="cellIs" dxfId="241" priority="1217" operator="equal">
      <formula>"Muy Alta"</formula>
    </cfRule>
    <cfRule type="cellIs" dxfId="240" priority="1218" operator="equal">
      <formula>"Alta"</formula>
    </cfRule>
    <cfRule type="cellIs" dxfId="239" priority="1219" operator="equal">
      <formula>"Media"</formula>
    </cfRule>
    <cfRule type="cellIs" dxfId="238" priority="1220" operator="equal">
      <formula>"Baja"</formula>
    </cfRule>
    <cfRule type="cellIs" dxfId="237" priority="1221" operator="equal">
      <formula>"Muy Baja"</formula>
    </cfRule>
  </conditionalFormatting>
  <conditionalFormatting sqref="M182">
    <cfRule type="cellIs" dxfId="236" priority="851" operator="equal">
      <formula>"Muy Alta"</formula>
    </cfRule>
    <cfRule type="cellIs" dxfId="235" priority="852" operator="equal">
      <formula>"Alta"</formula>
    </cfRule>
    <cfRule type="cellIs" dxfId="234" priority="853" operator="equal">
      <formula>"Media"</formula>
    </cfRule>
    <cfRule type="cellIs" dxfId="233" priority="854" operator="equal">
      <formula>"Baja"</formula>
    </cfRule>
    <cfRule type="cellIs" dxfId="232" priority="855" operator="equal">
      <formula>"Muy Baja"</formula>
    </cfRule>
  </conditionalFormatting>
  <conditionalFormatting sqref="O141 O17:O18 O20:O21 O144:O145 O170:O171 O126">
    <cfRule type="containsText" dxfId="231" priority="4888" operator="containsText" text="❌">
      <formula>NOT(ISERROR(SEARCH("❌",O17)))</formula>
    </cfRule>
  </conditionalFormatting>
  <conditionalFormatting sqref="O100">
    <cfRule type="containsText" dxfId="230" priority="4187" operator="containsText" text="❌">
      <formula>NOT(ISERROR(SEARCH("❌",O100)))</formula>
    </cfRule>
  </conditionalFormatting>
  <conditionalFormatting sqref="O106">
    <cfRule type="containsText" dxfId="229" priority="4004" operator="containsText" text="❌">
      <formula>NOT(ISERROR(SEARCH("❌",O106)))</formula>
    </cfRule>
  </conditionalFormatting>
  <conditionalFormatting sqref="O136">
    <cfRule type="containsText" dxfId="228" priority="2653" operator="containsText" text="❌">
      <formula>NOT(ISERROR(SEARCH("❌",O136)))</formula>
    </cfRule>
  </conditionalFormatting>
  <conditionalFormatting sqref="O147">
    <cfRule type="containsText" dxfId="227" priority="1868" operator="containsText" text="❌">
      <formula>NOT(ISERROR(SEARCH("❌",O147)))</formula>
    </cfRule>
  </conditionalFormatting>
  <conditionalFormatting sqref="O159:O160">
    <cfRule type="containsText" dxfId="226" priority="321" operator="containsText" text="❌">
      <formula>NOT(ISERROR(SEARCH("❌",O159)))</formula>
    </cfRule>
  </conditionalFormatting>
  <conditionalFormatting sqref="O178">
    <cfRule type="containsText" dxfId="225" priority="1347" operator="containsText" text="❌">
      <formula>NOT(ISERROR(SEARCH("❌",O178)))</formula>
    </cfRule>
  </conditionalFormatting>
  <conditionalFormatting sqref="P17:P18 P53 P55 P79:P80 P91 P83:P85 P87 P72:P77 P89 P59 P62 P98 P131 P68:P69 P64 P139:P141 P144:P145 P107 P112:P113 P20:P22 P43 P39 P35 P33 P29 P26 P41 P45 P50 P9:P15 AG182:AG184 P93 P96 AG9:AG101 P129 P170:P171 AG173:AG180 P47 P126 AG126:AG136 AG103:AG123 AG138:AG171">
    <cfRule type="cellIs" dxfId="224" priority="5040" operator="equal">
      <formula>"Catastrófico"</formula>
    </cfRule>
    <cfRule type="cellIs" dxfId="223" priority="5041" operator="equal">
      <formula>"Mayor"</formula>
    </cfRule>
    <cfRule type="cellIs" dxfId="222" priority="5042" operator="equal">
      <formula>"Moderado"</formula>
    </cfRule>
    <cfRule type="cellIs" dxfId="221" priority="5043" operator="equal">
      <formula>"Menor"</formula>
    </cfRule>
    <cfRule type="cellIs" dxfId="220" priority="5044" operator="equal">
      <formula>"Leve"</formula>
    </cfRule>
  </conditionalFormatting>
  <conditionalFormatting sqref="P100">
    <cfRule type="cellIs" dxfId="219" priority="2111" operator="equal">
      <formula>"Catastrófico"</formula>
    </cfRule>
    <cfRule type="cellIs" dxfId="218" priority="2112" operator="equal">
      <formula>"Mayor"</formula>
    </cfRule>
    <cfRule type="cellIs" dxfId="217" priority="2113" operator="equal">
      <formula>"Moderado"</formula>
    </cfRule>
    <cfRule type="cellIs" dxfId="216" priority="2114" operator="equal">
      <formula>"Menor"</formula>
    </cfRule>
    <cfRule type="cellIs" dxfId="215" priority="2115" operator="equal">
      <formula>"Leve"</formula>
    </cfRule>
  </conditionalFormatting>
  <conditionalFormatting sqref="P117 P115 P103:P104 P119 P106">
    <cfRule type="cellIs" dxfId="214" priority="2041" operator="equal">
      <formula>"Catastrófico"</formula>
    </cfRule>
    <cfRule type="cellIs" dxfId="213" priority="2042" operator="equal">
      <formula>"Mayor"</formula>
    </cfRule>
    <cfRule type="cellIs" dxfId="212" priority="2043" operator="equal">
      <formula>"Moderado"</formula>
    </cfRule>
    <cfRule type="cellIs" dxfId="211" priority="2044" operator="equal">
      <formula>"Menor"</formula>
    </cfRule>
    <cfRule type="cellIs" dxfId="210" priority="2045" operator="equal">
      <formula>"Leve"</formula>
    </cfRule>
  </conditionalFormatting>
  <conditionalFormatting sqref="P120:P122 P125">
    <cfRule type="cellIs" dxfId="209" priority="2011" operator="equal">
      <formula>"Catastrófico"</formula>
    </cfRule>
    <cfRule type="cellIs" dxfId="208" priority="2012" operator="equal">
      <formula>"Mayor"</formula>
    </cfRule>
    <cfRule type="cellIs" dxfId="207" priority="2013" operator="equal">
      <formula>"Moderado"</formula>
    </cfRule>
    <cfRule type="cellIs" dxfId="206" priority="2014" operator="equal">
      <formula>"Menor"</formula>
    </cfRule>
    <cfRule type="cellIs" dxfId="205" priority="2015" operator="equal">
      <formula>"Leve"</formula>
    </cfRule>
  </conditionalFormatting>
  <conditionalFormatting sqref="P132">
    <cfRule type="cellIs" dxfId="204" priority="1986" operator="equal">
      <formula>"Catastrófico"</formula>
    </cfRule>
    <cfRule type="cellIs" dxfId="203" priority="1987" operator="equal">
      <formula>"Mayor"</formula>
    </cfRule>
    <cfRule type="cellIs" dxfId="202" priority="1988" operator="equal">
      <formula>"Moderado"</formula>
    </cfRule>
    <cfRule type="cellIs" dxfId="201" priority="1989" operator="equal">
      <formula>"Menor"</formula>
    </cfRule>
    <cfRule type="cellIs" dxfId="200" priority="1990" operator="equal">
      <formula>"Leve"</formula>
    </cfRule>
  </conditionalFormatting>
  <conditionalFormatting sqref="P134">
    <cfRule type="cellIs" dxfId="199" priority="1981" operator="equal">
      <formula>"Catastrófico"</formula>
    </cfRule>
    <cfRule type="cellIs" dxfId="198" priority="1982" operator="equal">
      <formula>"Mayor"</formula>
    </cfRule>
    <cfRule type="cellIs" dxfId="197" priority="1983" operator="equal">
      <formula>"Moderado"</formula>
    </cfRule>
    <cfRule type="cellIs" dxfId="196" priority="1984" operator="equal">
      <formula>"Menor"</formula>
    </cfRule>
    <cfRule type="cellIs" dxfId="195" priority="1985" operator="equal">
      <formula>"Leve"</formula>
    </cfRule>
  </conditionalFormatting>
  <conditionalFormatting sqref="P136 P138">
    <cfRule type="cellIs" dxfId="194" priority="1976" operator="equal">
      <formula>"Catastrófico"</formula>
    </cfRule>
    <cfRule type="cellIs" dxfId="193" priority="1977" operator="equal">
      <formula>"Mayor"</formula>
    </cfRule>
    <cfRule type="cellIs" dxfId="192" priority="1978" operator="equal">
      <formula>"Moderado"</formula>
    </cfRule>
    <cfRule type="cellIs" dxfId="191" priority="1979" operator="equal">
      <formula>"Menor"</formula>
    </cfRule>
    <cfRule type="cellIs" dxfId="190" priority="1980" operator="equal">
      <formula>"Leve"</formula>
    </cfRule>
  </conditionalFormatting>
  <conditionalFormatting sqref="P147">
    <cfRule type="cellIs" dxfId="189" priority="2278" operator="equal">
      <formula>"Catastrófico"</formula>
    </cfRule>
    <cfRule type="cellIs" dxfId="188" priority="2279" operator="equal">
      <formula>"Mayor"</formula>
    </cfRule>
    <cfRule type="cellIs" dxfId="187" priority="2280" operator="equal">
      <formula>"Moderado"</formula>
    </cfRule>
    <cfRule type="cellIs" dxfId="186" priority="2281" operator="equal">
      <formula>"Menor"</formula>
    </cfRule>
    <cfRule type="cellIs" dxfId="185" priority="2282" operator="equal">
      <formula>"Leve"</formula>
    </cfRule>
  </conditionalFormatting>
  <conditionalFormatting sqref="P155 P157 P149 P153 P159:P160 P162">
    <cfRule type="cellIs" dxfId="184" priority="341" operator="equal">
      <formula>"Catastrófico"</formula>
    </cfRule>
    <cfRule type="cellIs" dxfId="183" priority="342" operator="equal">
      <formula>"Mayor"</formula>
    </cfRule>
    <cfRule type="cellIs" dxfId="182" priority="343" operator="equal">
      <formula>"Moderado"</formula>
    </cfRule>
    <cfRule type="cellIs" dxfId="181" priority="344" operator="equal">
      <formula>"Menor"</formula>
    </cfRule>
    <cfRule type="cellIs" dxfId="180" priority="345" operator="equal">
      <formula>"Leve"</formula>
    </cfRule>
  </conditionalFormatting>
  <conditionalFormatting sqref="P165:P166">
    <cfRule type="cellIs" dxfId="179" priority="1718" operator="equal">
      <formula>"Catastrófico"</formula>
    </cfRule>
    <cfRule type="cellIs" dxfId="178" priority="1719" operator="equal">
      <formula>"Mayor"</formula>
    </cfRule>
    <cfRule type="cellIs" dxfId="177" priority="1720" operator="equal">
      <formula>"Moderado"</formula>
    </cfRule>
    <cfRule type="cellIs" dxfId="176" priority="1721" operator="equal">
      <formula>"Menor"</formula>
    </cfRule>
    <cfRule type="cellIs" dxfId="175" priority="1722" operator="equal">
      <formula>"Leve"</formula>
    </cfRule>
  </conditionalFormatting>
  <conditionalFormatting sqref="P173">
    <cfRule type="cellIs" dxfId="174" priority="1358" operator="equal">
      <formula>"Catastrófico"</formula>
    </cfRule>
    <cfRule type="cellIs" dxfId="173" priority="1359" operator="equal">
      <formula>"Mayor"</formula>
    </cfRule>
    <cfRule type="cellIs" dxfId="172" priority="1360" operator="equal">
      <formula>"Moderado"</formula>
    </cfRule>
    <cfRule type="cellIs" dxfId="171" priority="1361" operator="equal">
      <formula>"Menor"</formula>
    </cfRule>
    <cfRule type="cellIs" dxfId="170" priority="1362" operator="equal">
      <formula>"Leve"</formula>
    </cfRule>
  </conditionalFormatting>
  <conditionalFormatting sqref="P180 P175:P176 P178">
    <cfRule type="cellIs" dxfId="169" priority="403" operator="equal">
      <formula>"Catastrófico"</formula>
    </cfRule>
    <cfRule type="cellIs" dxfId="168" priority="404" operator="equal">
      <formula>"Mayor"</formula>
    </cfRule>
    <cfRule type="cellIs" dxfId="167" priority="405" operator="equal">
      <formula>"Moderado"</formula>
    </cfRule>
    <cfRule type="cellIs" dxfId="166" priority="406" operator="equal">
      <formula>"Menor"</formula>
    </cfRule>
    <cfRule type="cellIs" dxfId="165" priority="407" operator="equal">
      <formula>"Leve"</formula>
    </cfRule>
  </conditionalFormatting>
  <conditionalFormatting sqref="P182">
    <cfRule type="cellIs" dxfId="164" priority="1236" operator="equal">
      <formula>"Catastrófico"</formula>
    </cfRule>
    <cfRule type="cellIs" dxfId="163" priority="1237" operator="equal">
      <formula>"Mayor"</formula>
    </cfRule>
    <cfRule type="cellIs" dxfId="162" priority="1238" operator="equal">
      <formula>"Moderado"</formula>
    </cfRule>
    <cfRule type="cellIs" dxfId="161" priority="1239" operator="equal">
      <formula>"Menor"</formula>
    </cfRule>
    <cfRule type="cellIs" dxfId="160" priority="1240" operator="equal">
      <formula>"Leve"</formula>
    </cfRule>
  </conditionalFormatting>
  <conditionalFormatting sqref="R17:R18 AJ51 R87 R91 R93 R96 R72:R77 AJ74:AJ78 R20:R22 R89 AJ88:AJ94 R59 R62 R131 R68:R69 R64 R139:R141 R144:R145 R107 R112:R113 AI52:AJ73 AI74:AI101 R26 R29 R35 R39 R41 R43 R45 R50 R47 R33 R9:R15 AI182:AI184 AJ139:AJ146 AI9:AJ50 R129 R170:R171 AI173:AI180 R126 AJ126:AJ131 AI126:AI136 R165:R166 AI138:AI171 AJ149:AJ170 AI103:AJ123">
    <cfRule type="cellIs" dxfId="159" priority="5031" operator="equal">
      <formula>"Extremo"</formula>
    </cfRule>
    <cfRule type="cellIs" dxfId="158" priority="5032" operator="equal">
      <formula>"Alto"</formula>
    </cfRule>
    <cfRule type="cellIs" dxfId="157" priority="5033" operator="equal">
      <formula>"Moderado"</formula>
    </cfRule>
    <cfRule type="cellIs" dxfId="156" priority="5034" operator="equal">
      <formula>"Bajo"</formula>
    </cfRule>
  </conditionalFormatting>
  <conditionalFormatting sqref="R79:R80 R83:R85">
    <cfRule type="cellIs" dxfId="155" priority="4665" operator="equal">
      <formula>"Extremo"</formula>
    </cfRule>
    <cfRule type="cellIs" dxfId="154" priority="4666" operator="equal">
      <formula>"Alto"</formula>
    </cfRule>
    <cfRule type="cellIs" dxfId="153" priority="4667" operator="equal">
      <formula>"Moderado"</formula>
    </cfRule>
    <cfRule type="cellIs" dxfId="152" priority="4668" operator="equal">
      <formula>"Bajo"</formula>
    </cfRule>
  </conditionalFormatting>
  <conditionalFormatting sqref="R98 R100">
    <cfRule type="cellIs" dxfId="151" priority="4188" operator="equal">
      <formula>"Extremo"</formula>
    </cfRule>
    <cfRule type="cellIs" dxfId="150" priority="4189" operator="equal">
      <formula>"Alto"</formula>
    </cfRule>
    <cfRule type="cellIs" dxfId="149" priority="4190" operator="equal">
      <formula>"Moderado"</formula>
    </cfRule>
    <cfRule type="cellIs" dxfId="148" priority="4191" operator="equal">
      <formula>"Bajo"</formula>
    </cfRule>
  </conditionalFormatting>
  <conditionalFormatting sqref="R115 R117 R103:R104 R106">
    <cfRule type="cellIs" dxfId="147" priority="3186" operator="equal">
      <formula>"Extremo"</formula>
    </cfRule>
    <cfRule type="cellIs" dxfId="146" priority="3187" operator="equal">
      <formula>"Alto"</formula>
    </cfRule>
    <cfRule type="cellIs" dxfId="145" priority="3188" operator="equal">
      <formula>"Moderado"</formula>
    </cfRule>
    <cfRule type="cellIs" dxfId="144" priority="3189" operator="equal">
      <formula>"Bajo"</formula>
    </cfRule>
  </conditionalFormatting>
  <conditionalFormatting sqref="R119:R122 R125">
    <cfRule type="cellIs" dxfId="143" priority="3162" operator="equal">
      <formula>"Extremo"</formula>
    </cfRule>
    <cfRule type="cellIs" dxfId="142" priority="3163" operator="equal">
      <formula>"Alto"</formula>
    </cfRule>
    <cfRule type="cellIs" dxfId="141" priority="3164" operator="equal">
      <formula>"Moderado"</formula>
    </cfRule>
    <cfRule type="cellIs" dxfId="140" priority="3165" operator="equal">
      <formula>"Bajo"</formula>
    </cfRule>
  </conditionalFormatting>
  <conditionalFormatting sqref="R132">
    <cfRule type="cellIs" dxfId="139" priority="2840" operator="equal">
      <formula>"Extremo"</formula>
    </cfRule>
    <cfRule type="cellIs" dxfId="138" priority="2841" operator="equal">
      <formula>"Alto"</formula>
    </cfRule>
    <cfRule type="cellIs" dxfId="137" priority="2842" operator="equal">
      <formula>"Moderado"</formula>
    </cfRule>
    <cfRule type="cellIs" dxfId="136" priority="2843" operator="equal">
      <formula>"Bajo"</formula>
    </cfRule>
  </conditionalFormatting>
  <conditionalFormatting sqref="R134">
    <cfRule type="cellIs" dxfId="135" priority="2854" operator="equal">
      <formula>"Extremo"</formula>
    </cfRule>
    <cfRule type="cellIs" dxfId="134" priority="2855" operator="equal">
      <formula>"Alto"</formula>
    </cfRule>
    <cfRule type="cellIs" dxfId="133" priority="2856" operator="equal">
      <formula>"Moderado"</formula>
    </cfRule>
    <cfRule type="cellIs" dxfId="132" priority="2857" operator="equal">
      <formula>"Bajo"</formula>
    </cfRule>
  </conditionalFormatting>
  <conditionalFormatting sqref="R136 R138">
    <cfRule type="cellIs" dxfId="131" priority="2654" operator="equal">
      <formula>"Extremo"</formula>
    </cfRule>
    <cfRule type="cellIs" dxfId="130" priority="2655" operator="equal">
      <formula>"Alto"</formula>
    </cfRule>
    <cfRule type="cellIs" dxfId="129" priority="2656" operator="equal">
      <formula>"Moderado"</formula>
    </cfRule>
    <cfRule type="cellIs" dxfId="128" priority="2657" operator="equal">
      <formula>"Bajo"</formula>
    </cfRule>
  </conditionalFormatting>
  <conditionalFormatting sqref="R147">
    <cfRule type="cellIs" dxfId="127" priority="1884" operator="equal">
      <formula>"Extremo"</formula>
    </cfRule>
    <cfRule type="cellIs" dxfId="126" priority="1885" operator="equal">
      <formula>"Alto"</formula>
    </cfRule>
    <cfRule type="cellIs" dxfId="125" priority="1886" operator="equal">
      <formula>"Moderado"</formula>
    </cfRule>
    <cfRule type="cellIs" dxfId="124" priority="1887" operator="equal">
      <formula>"Bajo"</formula>
    </cfRule>
  </conditionalFormatting>
  <conditionalFormatting sqref="R155 R157 R159:R160 R149 R153 R162 R164">
    <cfRule type="cellIs" dxfId="123" priority="323" operator="equal">
      <formula>"Extremo"</formula>
    </cfRule>
    <cfRule type="cellIs" dxfId="122" priority="324" operator="equal">
      <formula>"Alto"</formula>
    </cfRule>
    <cfRule type="cellIs" dxfId="121" priority="325" operator="equal">
      <formula>"Moderado"</formula>
    </cfRule>
    <cfRule type="cellIs" dxfId="120" priority="326" operator="equal">
      <formula>"Bajo"</formula>
    </cfRule>
  </conditionalFormatting>
  <conditionalFormatting sqref="R173">
    <cfRule type="cellIs" dxfId="119" priority="1349" operator="equal">
      <formula>"Extremo"</formula>
    </cfRule>
    <cfRule type="cellIs" dxfId="118" priority="1350" operator="equal">
      <formula>"Alto"</formula>
    </cfRule>
    <cfRule type="cellIs" dxfId="117" priority="1351" operator="equal">
      <formula>"Moderado"</formula>
    </cfRule>
    <cfRule type="cellIs" dxfId="116" priority="1352" operator="equal">
      <formula>"Bajo"</formula>
    </cfRule>
  </conditionalFormatting>
  <conditionalFormatting sqref="R180 R175:R176 R178">
    <cfRule type="cellIs" dxfId="115" priority="1213" operator="equal">
      <formula>"Extremo"</formula>
    </cfRule>
    <cfRule type="cellIs" dxfId="114" priority="1214" operator="equal">
      <formula>"Alto"</formula>
    </cfRule>
    <cfRule type="cellIs" dxfId="113" priority="1215" operator="equal">
      <formula>"Moderado"</formula>
    </cfRule>
    <cfRule type="cellIs" dxfId="112" priority="1216" operator="equal">
      <formula>"Bajo"</formula>
    </cfRule>
  </conditionalFormatting>
  <conditionalFormatting sqref="R182">
    <cfRule type="cellIs" dxfId="111" priority="847" operator="equal">
      <formula>"Extremo"</formula>
    </cfRule>
    <cfRule type="cellIs" dxfId="110" priority="848" operator="equal">
      <formula>"Alto"</formula>
    </cfRule>
    <cfRule type="cellIs" dxfId="109" priority="849" operator="equal">
      <formula>"Moderado"</formula>
    </cfRule>
    <cfRule type="cellIs" dxfId="108" priority="850" operator="equal">
      <formula>"Bajo"</formula>
    </cfRule>
  </conditionalFormatting>
  <conditionalFormatting sqref="AI51">
    <cfRule type="cellIs" dxfId="107" priority="4874" operator="equal">
      <formula>"Extremo"</formula>
    </cfRule>
    <cfRule type="cellIs" dxfId="106" priority="4875" operator="equal">
      <formula>"Alto"</formula>
    </cfRule>
    <cfRule type="cellIs" dxfId="105" priority="4876" operator="equal">
      <formula>"Moderado"</formula>
    </cfRule>
    <cfRule type="cellIs" dxfId="104" priority="4877" operator="equal">
      <formula>"Bajo"</formula>
    </cfRule>
  </conditionalFormatting>
  <conditionalFormatting sqref="AJ79:AJ82">
    <cfRule type="cellIs" dxfId="103" priority="4282" operator="equal">
      <formula>"Extremo"</formula>
    </cfRule>
    <cfRule type="cellIs" dxfId="102" priority="4283" operator="equal">
      <formula>"Alto"</formula>
    </cfRule>
    <cfRule type="cellIs" dxfId="101" priority="4284" operator="equal">
      <formula>"Moderado"</formula>
    </cfRule>
    <cfRule type="cellIs" dxfId="100" priority="4285" operator="equal">
      <formula>"Bajo"</formula>
    </cfRule>
  </conditionalFormatting>
  <conditionalFormatting sqref="AJ83:AJ87">
    <cfRule type="cellIs" dxfId="99" priority="4278" operator="equal">
      <formula>"Extremo"</formula>
    </cfRule>
    <cfRule type="cellIs" dxfId="98" priority="4279" operator="equal">
      <formula>"Alto"</formula>
    </cfRule>
    <cfRule type="cellIs" dxfId="97" priority="4280" operator="equal">
      <formula>"Moderado"</formula>
    </cfRule>
    <cfRule type="cellIs" dxfId="96" priority="4281" operator="equal">
      <formula>"Bajo"</formula>
    </cfRule>
  </conditionalFormatting>
  <conditionalFormatting sqref="AJ95:AJ96">
    <cfRule type="cellIs" dxfId="95" priority="4246" operator="equal">
      <formula>"Extremo"</formula>
    </cfRule>
    <cfRule type="cellIs" dxfId="94" priority="4247" operator="equal">
      <formula>"Alto"</formula>
    </cfRule>
    <cfRule type="cellIs" dxfId="93" priority="4248" operator="equal">
      <formula>"Moderado"</formula>
    </cfRule>
    <cfRule type="cellIs" dxfId="92" priority="4249" operator="equal">
      <formula>"Bajo"</formula>
    </cfRule>
  </conditionalFormatting>
  <conditionalFormatting sqref="AJ97:AJ101">
    <cfRule type="cellIs" dxfId="91" priority="4056" operator="equal">
      <formula>"Extremo"</formula>
    </cfRule>
    <cfRule type="cellIs" dxfId="90" priority="4057" operator="equal">
      <formula>"Alto"</formula>
    </cfRule>
    <cfRule type="cellIs" dxfId="89" priority="4058" operator="equal">
      <formula>"Moderado"</formula>
    </cfRule>
    <cfRule type="cellIs" dxfId="88" priority="4059" operator="equal">
      <formula>"Bajo"</formula>
    </cfRule>
  </conditionalFormatting>
  <conditionalFormatting sqref="AJ132:AJ133">
    <cfRule type="cellIs" dxfId="87" priority="2690" operator="equal">
      <formula>"Extremo"</formula>
    </cfRule>
    <cfRule type="cellIs" dxfId="86" priority="2691" operator="equal">
      <formula>"Alto"</formula>
    </cfRule>
    <cfRule type="cellIs" dxfId="85" priority="2692" operator="equal">
      <formula>"Moderado"</formula>
    </cfRule>
    <cfRule type="cellIs" dxfId="84" priority="2693" operator="equal">
      <formula>"Bajo"</formula>
    </cfRule>
  </conditionalFormatting>
  <conditionalFormatting sqref="AJ134:AJ136">
    <cfRule type="cellIs" dxfId="83" priority="472" operator="equal">
      <formula>"Extremo"</formula>
    </cfRule>
    <cfRule type="cellIs" dxfId="82" priority="473" operator="equal">
      <formula>"Alto"</formula>
    </cfRule>
    <cfRule type="cellIs" dxfId="81" priority="474" operator="equal">
      <formula>"Moderado"</formula>
    </cfRule>
    <cfRule type="cellIs" dxfId="80" priority="475" operator="equal">
      <formula>"Bajo"</formula>
    </cfRule>
  </conditionalFormatting>
  <conditionalFormatting sqref="AJ147:AJ148">
    <cfRule type="cellIs" dxfId="79" priority="1776" operator="equal">
      <formula>"Extremo"</formula>
    </cfRule>
    <cfRule type="cellIs" dxfId="78" priority="1777" operator="equal">
      <formula>"Alto"</formula>
    </cfRule>
    <cfRule type="cellIs" dxfId="77" priority="1778" operator="equal">
      <formula>"Moderado"</formula>
    </cfRule>
    <cfRule type="cellIs" dxfId="76" priority="1779" operator="equal">
      <formula>"Bajo"</formula>
    </cfRule>
  </conditionalFormatting>
  <conditionalFormatting sqref="AJ175:AJ180">
    <cfRule type="cellIs" dxfId="75" priority="969" operator="equal">
      <formula>"Extremo"</formula>
    </cfRule>
    <cfRule type="cellIs" dxfId="74" priority="970" operator="equal">
      <formula>"Alto"</formula>
    </cfRule>
    <cfRule type="cellIs" dxfId="73" priority="971" operator="equal">
      <formula>"Moderado"</formula>
    </cfRule>
    <cfRule type="cellIs" dxfId="72" priority="972" operator="equal">
      <formula>"Bajo"</formula>
    </cfRule>
  </conditionalFormatting>
  <conditionalFormatting sqref="AJ182:AJ184">
    <cfRule type="cellIs" dxfId="71" priority="365" operator="equal">
      <formula>"Extremo"</formula>
    </cfRule>
    <cfRule type="cellIs" dxfId="70" priority="366" operator="equal">
      <formula>"Alto"</formula>
    </cfRule>
    <cfRule type="cellIs" dxfId="69" priority="367" operator="equal">
      <formula>"Moderado"</formula>
    </cfRule>
    <cfRule type="cellIs" dxfId="68" priority="368" operator="equal">
      <formula>"Bajo"</formula>
    </cfRule>
  </conditionalFormatting>
  <conditionalFormatting sqref="O75:O76">
    <cfRule type="containsText" dxfId="67" priority="104" operator="containsText" text="❌">
      <formula>NOT(ISERROR(SEARCH("❌",O75)))</formula>
    </cfRule>
  </conditionalFormatting>
  <conditionalFormatting sqref="O79:O80 O93 O91 O83:O85">
    <cfRule type="containsText" dxfId="66" priority="102" operator="containsText" text="❌">
      <formula>NOT(ISERROR(SEARCH("❌",O79)))</formula>
    </cfRule>
  </conditionalFormatting>
  <conditionalFormatting sqref="O77">
    <cfRule type="containsText" dxfId="65" priority="103" operator="containsText" text="❌">
      <formula>NOT(ISERROR(SEARCH("❌",O77)))</formula>
    </cfRule>
  </conditionalFormatting>
  <conditionalFormatting sqref="R53 R55">
    <cfRule type="cellIs" dxfId="64" priority="94" operator="equal">
      <formula>"Extremo"</formula>
    </cfRule>
    <cfRule type="cellIs" dxfId="63" priority="95" operator="equal">
      <formula>"Alto"</formula>
    </cfRule>
    <cfRule type="cellIs" dxfId="62" priority="96" operator="equal">
      <formula>"Moderado"</formula>
    </cfRule>
    <cfRule type="cellIs" dxfId="61" priority="97" operator="equal">
      <formula>"Bajo"</formula>
    </cfRule>
  </conditionalFormatting>
  <conditionalFormatting sqref="O113 O115">
    <cfRule type="containsText" dxfId="60" priority="90" operator="containsText" text="❌">
      <formula>NOT(ISERROR(SEARCH("❌",O113)))</formula>
    </cfRule>
  </conditionalFormatting>
  <conditionalFormatting sqref="O22">
    <cfRule type="containsText" dxfId="59" priority="88" operator="containsText" text="❌">
      <formula>NOT(ISERROR(SEARCH("❌",O22)))</formula>
    </cfRule>
  </conditionalFormatting>
  <conditionalFormatting sqref="O74">
    <cfRule type="containsText" dxfId="58" priority="87" operator="containsText" text="❌">
      <formula>NOT(ISERROR(SEARCH("❌",O74)))</formula>
    </cfRule>
  </conditionalFormatting>
  <conditionalFormatting sqref="O87 O89">
    <cfRule type="containsText" dxfId="57" priority="86" operator="containsText" text="❌">
      <formula>NOT(ISERROR(SEARCH("❌",O87)))</formula>
    </cfRule>
  </conditionalFormatting>
  <conditionalFormatting sqref="O96">
    <cfRule type="containsText" dxfId="56" priority="85" operator="containsText" text="❌">
      <formula>NOT(ISERROR(SEARCH("❌",O96)))</formula>
    </cfRule>
  </conditionalFormatting>
  <conditionalFormatting sqref="O129 O131">
    <cfRule type="containsText" dxfId="55" priority="80" operator="containsText" text="❌">
      <formula>NOT(ISERROR(SEARCH("❌",O129)))</formula>
    </cfRule>
  </conditionalFormatting>
  <conditionalFormatting sqref="O166">
    <cfRule type="containsText" dxfId="54" priority="77" operator="containsText" text="❌">
      <formula>NOT(ISERROR(SEARCH("❌",O166)))</formula>
    </cfRule>
  </conditionalFormatting>
  <conditionalFormatting sqref="O165">
    <cfRule type="containsText" dxfId="53" priority="64" operator="containsText" text="❌">
      <formula>NOT(ISERROR(SEARCH("❌",O165)))</formula>
    </cfRule>
  </conditionalFormatting>
  <conditionalFormatting sqref="O121">
    <cfRule type="containsText" dxfId="52" priority="63" operator="containsText" text="❌">
      <formula>NOT(ISERROR(SEARCH("❌",O121)))</formula>
    </cfRule>
  </conditionalFormatting>
  <conditionalFormatting sqref="O112">
    <cfRule type="containsText" dxfId="51" priority="62" operator="containsText" text="❌">
      <formula>NOT(ISERROR(SEARCH("❌",O112)))</formula>
    </cfRule>
  </conditionalFormatting>
  <conditionalFormatting sqref="M104">
    <cfRule type="cellIs" dxfId="50" priority="57" operator="equal">
      <formula>"Muy Alta"</formula>
    </cfRule>
    <cfRule type="cellIs" dxfId="49" priority="58" operator="equal">
      <formula>"Alta"</formula>
    </cfRule>
    <cfRule type="cellIs" dxfId="48" priority="59" operator="equal">
      <formula>"Media"</formula>
    </cfRule>
    <cfRule type="cellIs" dxfId="47" priority="60" operator="equal">
      <formula>"Baja"</formula>
    </cfRule>
    <cfRule type="cellIs" dxfId="46" priority="61" operator="equal">
      <formula>"Muy Baja"</formula>
    </cfRule>
  </conditionalFormatting>
  <conditionalFormatting sqref="M111">
    <cfRule type="cellIs" dxfId="45" priority="52" operator="equal">
      <formula>"Muy Alta"</formula>
    </cfRule>
    <cfRule type="cellIs" dxfId="44" priority="53" operator="equal">
      <formula>"Alta"</formula>
    </cfRule>
    <cfRule type="cellIs" dxfId="43" priority="54" operator="equal">
      <formula>"Media"</formula>
    </cfRule>
    <cfRule type="cellIs" dxfId="42" priority="55" operator="equal">
      <formula>"Baja"</formula>
    </cfRule>
    <cfRule type="cellIs" dxfId="41" priority="56" operator="equal">
      <formula>"Muy Baja"</formula>
    </cfRule>
  </conditionalFormatting>
  <conditionalFormatting sqref="O111">
    <cfRule type="containsText" dxfId="40" priority="51" operator="containsText" text="❌">
      <formula>NOT(ISERROR(SEARCH("❌",O111)))</formula>
    </cfRule>
  </conditionalFormatting>
  <conditionalFormatting sqref="P111">
    <cfRule type="cellIs" dxfId="39" priority="46" operator="equal">
      <formula>"Catastrófico"</formula>
    </cfRule>
    <cfRule type="cellIs" dxfId="38" priority="47" operator="equal">
      <formula>"Mayor"</formula>
    </cfRule>
    <cfRule type="cellIs" dxfId="37" priority="48" operator="equal">
      <formula>"Moderado"</formula>
    </cfRule>
    <cfRule type="cellIs" dxfId="36" priority="49" operator="equal">
      <formula>"Menor"</formula>
    </cfRule>
    <cfRule type="cellIs" dxfId="35" priority="50" operator="equal">
      <formula>"Leve"</formula>
    </cfRule>
  </conditionalFormatting>
  <conditionalFormatting sqref="AJ171 AJ173:AJ174">
    <cfRule type="cellIs" dxfId="34" priority="5" operator="equal">
      <formula>"Extremo"</formula>
    </cfRule>
    <cfRule type="cellIs" dxfId="33" priority="6" operator="equal">
      <formula>"Alto"</formula>
    </cfRule>
    <cfRule type="cellIs" dxfId="32" priority="7" operator="equal">
      <formula>"Moderado"</formula>
    </cfRule>
    <cfRule type="cellIs" dxfId="31" priority="8" operator="equal">
      <formula>"Bajo"</formula>
    </cfRule>
  </conditionalFormatting>
  <conditionalFormatting sqref="R111">
    <cfRule type="cellIs" dxfId="30" priority="42" operator="equal">
      <formula>"Extremo"</formula>
    </cfRule>
    <cfRule type="cellIs" dxfId="29" priority="43" operator="equal">
      <formula>"Alto"</formula>
    </cfRule>
    <cfRule type="cellIs" dxfId="28" priority="44" operator="equal">
      <formula>"Moderado"</formula>
    </cfRule>
    <cfRule type="cellIs" dxfId="27" priority="45" operator="equal">
      <formula>"Bajo"</formula>
    </cfRule>
  </conditionalFormatting>
  <conditionalFormatting sqref="AG125">
    <cfRule type="cellIs" dxfId="26" priority="27" operator="equal">
      <formula>"Catastrófico"</formula>
    </cfRule>
    <cfRule type="cellIs" dxfId="25" priority="28" operator="equal">
      <formula>"Mayor"</formula>
    </cfRule>
    <cfRule type="cellIs" dxfId="24" priority="29" operator="equal">
      <formula>"Moderado"</formula>
    </cfRule>
    <cfRule type="cellIs" dxfId="23" priority="30" operator="equal">
      <formula>"Menor"</formula>
    </cfRule>
    <cfRule type="cellIs" dxfId="22" priority="31" operator="equal">
      <formula>"Leve"</formula>
    </cfRule>
  </conditionalFormatting>
  <conditionalFormatting sqref="AI125">
    <cfRule type="cellIs" dxfId="21" priority="23" operator="equal">
      <formula>"Extremo"</formula>
    </cfRule>
    <cfRule type="cellIs" dxfId="20" priority="24" operator="equal">
      <formula>"Alto"</formula>
    </cfRule>
    <cfRule type="cellIs" dxfId="19" priority="25" operator="equal">
      <formula>"Moderado"</formula>
    </cfRule>
    <cfRule type="cellIs" dxfId="18" priority="26" operator="equal">
      <formula>"Bajo"</formula>
    </cfRule>
  </conditionalFormatting>
  <conditionalFormatting sqref="AJ125">
    <cfRule type="cellIs" dxfId="17" priority="15" operator="equal">
      <formula>"Extremo"</formula>
    </cfRule>
    <cfRule type="cellIs" dxfId="16" priority="16" operator="equal">
      <formula>"Alto"</formula>
    </cfRule>
    <cfRule type="cellIs" dxfId="15" priority="17" operator="equal">
      <formula>"Moderado"</formula>
    </cfRule>
    <cfRule type="cellIs" dxfId="14" priority="18" operator="equal">
      <formula>"Bajo"</formula>
    </cfRule>
  </conditionalFormatting>
  <conditionalFormatting sqref="O164">
    <cfRule type="containsText" dxfId="13" priority="14" operator="containsText" text="❌">
      <formula>NOT(ISERROR(SEARCH("❌",O164)))</formula>
    </cfRule>
  </conditionalFormatting>
  <conditionalFormatting sqref="P164">
    <cfRule type="cellIs" dxfId="12" priority="9" operator="equal">
      <formula>"Catastrófico"</formula>
    </cfRule>
    <cfRule type="cellIs" dxfId="11" priority="10" operator="equal">
      <formula>"Mayor"</formula>
    </cfRule>
    <cfRule type="cellIs" dxfId="10" priority="11" operator="equal">
      <formula>"Moderado"</formula>
    </cfRule>
    <cfRule type="cellIs" dxfId="9" priority="12" operator="equal">
      <formula>"Menor"</formula>
    </cfRule>
    <cfRule type="cellIs" dxfId="8" priority="13" operator="equal">
      <formula>"Leve"</formula>
    </cfRule>
  </conditionalFormatting>
  <conditionalFormatting sqref="AJ138">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dataValidations xWindow="897" yWindow="422" count="1">
    <dataValidation type="list" allowBlank="1" showInputMessage="1" showErrorMessage="1" sqref="I111 I138 I125 I106:I107 I149 I153">
      <formula1>#REF!</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xWindow="897" yWindow="422" count="13">
        <x14:dataValidation type="list" allowBlank="1" showInputMessage="1" showErrorMessage="1">
          <x14:formula1>
            <xm:f>'8.Listas desplegables'!$E$40:$E$52</xm:f>
          </x14:formula1>
          <xm:sqref>J178:J184 J164:J176 J9:J161</xm:sqref>
        </x14:dataValidation>
        <x14:dataValidation type="list" allowBlank="1" showInputMessage="1" showErrorMessage="1">
          <x14:formula1>
            <xm:f>'8.Listas desplegables'!$E$21:$E$31</xm:f>
          </x14:formula1>
          <xm:sqref>K178:K184 K164:K176 K9:K161</xm:sqref>
        </x14:dataValidation>
        <x14:dataValidation type="list" allowBlank="1" showInputMessage="1" showErrorMessage="1">
          <x14:formula1>
            <xm:f>'8.Listas desplegables'!$C$25:$C$33</xm:f>
          </x14:formula1>
          <xm:sqref>I13:I15 I17:I18 I7 I50 I20:I22 I53 I55 I59 I62 I64 I68:I69 I72:I77 I79:I80 I115 I103:I104 I83:I85 I87 I89 I91 I93 I96 I98 I100 I117 I119:I122 I131:I132 I134 I129 I144:I145 I147 I47 I45 I180 I182 I9:I11 I112:I113 I155 I157 I159:I160 I29 I33 I41 I35 I39 I43 I175:I176 I178 I170:I171 I165:I166</xm:sqref>
        </x14:dataValidation>
        <x14:dataValidation type="list" allowBlank="1" showInputMessage="1" showErrorMessage="1">
          <x14:formula1>
            <xm:f>'8.Listas desplegables'!$A$3:$A$5</xm:f>
          </x14:formula1>
          <xm:sqref>V173:V184 V9:V171</xm:sqref>
        </x14:dataValidation>
        <x14:dataValidation type="list" allowBlank="1" showInputMessage="1" showErrorMessage="1">
          <x14:formula1>
            <xm:f>'8.Listas desplegables'!$E$15:$E$16</xm:f>
          </x14:formula1>
          <xm:sqref>U173:U184 U9:U171</xm:sqref>
        </x14:dataValidation>
        <x14:dataValidation type="list" allowBlank="1" showInputMessage="1" showErrorMessage="1">
          <x14:formula1>
            <xm:f>'8.Listas desplegables'!$A$6:$A$7</xm:f>
          </x14:formula1>
          <xm:sqref>W173:W184 W9:W171</xm:sqref>
        </x14:dataValidation>
        <x14:dataValidation type="list" allowBlank="1" showInputMessage="1" showErrorMessage="1">
          <x14:formula1>
            <xm:f>'8.Listas desplegables'!$A$8:$A$9</xm:f>
          </x14:formula1>
          <xm:sqref>Y173:Y184 Y9:Y171</xm:sqref>
        </x14:dataValidation>
        <x14:dataValidation type="list" allowBlank="1" showInputMessage="1" showErrorMessage="1">
          <x14:formula1>
            <xm:f>'8.Listas desplegables'!$A$10:$A$11</xm:f>
          </x14:formula1>
          <xm:sqref>Z173:Z184 Z9:Z171</xm:sqref>
        </x14:dataValidation>
        <x14:dataValidation type="list" allowBlank="1" showInputMessage="1" showErrorMessage="1">
          <x14:formula1>
            <xm:f>'8.Listas desplegables'!$A$13:$A$14</xm:f>
          </x14:formula1>
          <xm:sqref>AA173:AA184 AA9:AA171</xm:sqref>
        </x14:dataValidation>
        <x14:dataValidation type="list" allowBlank="1" showInputMessage="1" showErrorMessage="1">
          <x14:formula1>
            <xm:f>'8.Listas desplegables'!$A$24:$A$26</xm:f>
          </x14:formula1>
          <xm:sqref>AB8:AB184</xm:sqref>
        </x14:dataValidation>
        <x14:dataValidation type="list" allowBlank="1" showInputMessage="1" showErrorMessage="1">
          <x14:formula1>
            <xm:f>'Z:\7. RIESGOS\RIESGOS 2025\RIESGOS 2 TRIMESTRE\[+2025 Matriz de Riesgos SARLAFT-SICOF-PTEE - V1.xlsx]Hoja1'!#REF!</xm:f>
          </x14:formula1>
          <xm:sqref>I126:I128</xm:sqref>
        </x14:dataValidation>
        <x14:dataValidation type="list" allowBlank="1" showInputMessage="1" showErrorMessage="1">
          <x14:formula1>
            <xm:f>'8.Listas desplegables'!$C$9:$C$13</xm:f>
          </x14:formula1>
          <xm:sqref>O129:O149 O153 O175:O176 O178:O184 O9:O122 O125:O126 O164:O173 O155:O162</xm:sqref>
        </x14:dataValidation>
        <x14:dataValidation type="list" allowBlank="1" showInputMessage="1" showErrorMessage="1">
          <x14:formula1>
            <xm:f>'8.Listas desplegables'!$A$16:$A$18</xm:f>
          </x14:formula1>
          <xm:sqref>AK9:AK184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FFFF99"/>
  </sheetPr>
  <dimension ref="A1:CI120"/>
  <sheetViews>
    <sheetView zoomScale="60" zoomScaleNormal="60" workbookViewId="0">
      <selection activeCell="J20" sqref="J20:K21"/>
    </sheetView>
  </sheetViews>
  <sheetFormatPr baseColWidth="10" defaultRowHeight="15" x14ac:dyDescent="0.25"/>
  <cols>
    <col min="2" max="3" width="5.7109375" customWidth="1"/>
    <col min="4" max="4" width="23.7109375" customWidth="1"/>
    <col min="5" max="7" width="5.7109375" customWidth="1"/>
    <col min="8" max="8" width="27.5703125" customWidth="1"/>
    <col min="9" max="10" width="5.7109375" customWidth="1"/>
    <col min="11" max="11" width="20.28515625" customWidth="1"/>
    <col min="12" max="12" width="5.7109375" customWidth="1"/>
    <col min="13" max="13" width="14.5703125" customWidth="1"/>
    <col min="14" max="15" width="5.7109375" customWidth="1"/>
    <col min="16" max="16" width="14.5703125" customWidth="1"/>
    <col min="17" max="18" width="5.7109375" customWidth="1"/>
    <col min="19" max="19" width="11.140625" customWidth="1"/>
    <col min="20" max="21" width="5.7109375" customWidth="1"/>
    <col min="22" max="22" width="11.140625" customWidth="1"/>
    <col min="23" max="25" width="5.7109375" customWidth="1"/>
    <col min="26" max="26" width="14" customWidth="1"/>
    <col min="27" max="27" width="5.7109375" customWidth="1"/>
    <col min="29" max="34" width="5.7109375" customWidth="1"/>
  </cols>
  <sheetData>
    <row r="1" spans="1:87" x14ac:dyDescent="0.25">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row>
    <row r="2" spans="1:87" ht="18" customHeight="1" x14ac:dyDescent="0.25">
      <c r="A2" s="36"/>
      <c r="B2" s="931" t="s">
        <v>138</v>
      </c>
      <c r="C2" s="931"/>
      <c r="D2" s="931"/>
      <c r="E2" s="931"/>
      <c r="F2" s="931"/>
      <c r="G2" s="931"/>
      <c r="H2" s="912" t="s">
        <v>1</v>
      </c>
      <c r="I2" s="912"/>
      <c r="J2" s="912"/>
      <c r="K2" s="912"/>
      <c r="L2" s="912"/>
      <c r="M2" s="912"/>
      <c r="N2" s="912"/>
      <c r="O2" s="912"/>
      <c r="P2" s="912"/>
      <c r="Q2" s="912"/>
      <c r="R2" s="912"/>
      <c r="S2" s="912"/>
      <c r="T2" s="912"/>
      <c r="U2" s="912"/>
      <c r="V2" s="912"/>
      <c r="W2" s="912"/>
      <c r="X2" s="912"/>
      <c r="Y2" s="912"/>
      <c r="Z2" s="912"/>
      <c r="AA2" s="912"/>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row>
    <row r="3" spans="1:87" ht="18.75" customHeight="1" x14ac:dyDescent="0.25">
      <c r="A3" s="36"/>
      <c r="B3" s="931"/>
      <c r="C3" s="931"/>
      <c r="D3" s="931"/>
      <c r="E3" s="931"/>
      <c r="F3" s="931"/>
      <c r="G3" s="931"/>
      <c r="H3" s="912"/>
      <c r="I3" s="912"/>
      <c r="J3" s="912"/>
      <c r="K3" s="912"/>
      <c r="L3" s="912"/>
      <c r="M3" s="912"/>
      <c r="N3" s="912"/>
      <c r="O3" s="912"/>
      <c r="P3" s="912"/>
      <c r="Q3" s="912"/>
      <c r="R3" s="912"/>
      <c r="S3" s="912"/>
      <c r="T3" s="912"/>
      <c r="U3" s="912"/>
      <c r="V3" s="912"/>
      <c r="W3" s="912"/>
      <c r="X3" s="912"/>
      <c r="Y3" s="912"/>
      <c r="Z3" s="912"/>
      <c r="AA3" s="912"/>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row>
    <row r="4" spans="1:87" ht="15" customHeight="1" x14ac:dyDescent="0.25">
      <c r="A4" s="36"/>
      <c r="B4" s="931"/>
      <c r="C4" s="931"/>
      <c r="D4" s="931"/>
      <c r="E4" s="931"/>
      <c r="F4" s="931"/>
      <c r="G4" s="931"/>
      <c r="H4" s="912"/>
      <c r="I4" s="912"/>
      <c r="J4" s="912"/>
      <c r="K4" s="912"/>
      <c r="L4" s="912"/>
      <c r="M4" s="912"/>
      <c r="N4" s="912"/>
      <c r="O4" s="912"/>
      <c r="P4" s="912"/>
      <c r="Q4" s="912"/>
      <c r="R4" s="912"/>
      <c r="S4" s="912"/>
      <c r="T4" s="912"/>
      <c r="U4" s="912"/>
      <c r="V4" s="912"/>
      <c r="W4" s="912"/>
      <c r="X4" s="912"/>
      <c r="Y4" s="912"/>
      <c r="Z4" s="912"/>
      <c r="AA4" s="912"/>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row>
    <row r="5" spans="1:87" ht="15.75" thickBot="1" x14ac:dyDescent="0.3">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row>
    <row r="6" spans="1:87" ht="15" customHeight="1" x14ac:dyDescent="0.25">
      <c r="A6" s="36"/>
      <c r="B6" s="941" t="s">
        <v>2</v>
      </c>
      <c r="C6" s="941"/>
      <c r="D6" s="941"/>
      <c r="E6" s="897" t="s">
        <v>102</v>
      </c>
      <c r="F6" s="898"/>
      <c r="G6" s="898"/>
      <c r="H6" s="901" t="str">
        <f>IF(AND('2.Mapa final'!$M$17="Muy Alta",'2.Mapa final'!$P$17="Leve"),CONCATENATE("R",'2.Mapa final'!$E$19),"")</f>
        <v/>
      </c>
      <c r="I6" s="902"/>
      <c r="J6" s="902" t="e">
        <f>IF(AND('2.Mapa final'!#REF!="Muy Alta",'2.Mapa final'!#REF!="Leve"),CONCATENATE("R",'2.Mapa final'!#REF!),"")</f>
        <v>#REF!</v>
      </c>
      <c r="K6" s="905"/>
      <c r="L6" s="901" t="str">
        <f>IF(AND('2.Mapa final'!$M$17="Muy Alta",'2.Mapa final'!$P$17="Menor"),CONCATENATE("R",'2.Mapa final'!$E$19),"")</f>
        <v/>
      </c>
      <c r="M6" s="902"/>
      <c r="N6" s="902" t="e">
        <f>IF(AND('2.Mapa final'!#REF!="Muy Alta",'2.Mapa final'!#REF!="Menor"),CONCATENATE("R",'2.Mapa final'!#REF!),"")</f>
        <v>#REF!</v>
      </c>
      <c r="O6" s="905"/>
      <c r="P6" s="901" t="str">
        <f>IF(AND('2.Mapa final'!$M$17="Muy Alta",'2.Mapa final'!$P$17="Moderado"),CONCATENATE("R",'2.Mapa final'!$E$19),"")</f>
        <v/>
      </c>
      <c r="Q6" s="902"/>
      <c r="R6" s="902" t="e">
        <f>IF(AND('2.Mapa final'!#REF!="Muy Alta",'2.Mapa final'!#REF!="Moderado"),CONCATENATE("R",'2.Mapa final'!#REF!),"")</f>
        <v>#REF!</v>
      </c>
      <c r="S6" s="905"/>
      <c r="T6" s="901" t="str">
        <f>IF(AND('2.Mapa final'!$M$17="Muy Alta",'2.Mapa final'!$P$17="Mayor"),CONCATENATE("R",'2.Mapa final'!$E$19),"")</f>
        <v/>
      </c>
      <c r="U6" s="902"/>
      <c r="V6" s="902" t="e">
        <f>IF(AND('2.Mapa final'!#REF!="Muy Alta",'2.Mapa final'!#REF!="Mayor"),CONCATENATE("R",'2.Mapa final'!#REF!),"")</f>
        <v>#REF!</v>
      </c>
      <c r="W6" s="905"/>
      <c r="X6" s="913" t="str">
        <f>IF(AND('2.Mapa final'!$M$17="Muy Alta",'2.Mapa final'!$P$17="Catastrófico"),CONCATENATE("R",'2.Mapa final'!$E$19),"")</f>
        <v/>
      </c>
      <c r="Y6" s="914"/>
      <c r="Z6" s="914" t="e">
        <f>IF(AND('2.Mapa final'!#REF!="Muy Alta",'2.Mapa final'!#REF!="Catastrófico"),CONCATENATE("R",'2.Mapa final'!#REF!),"")</f>
        <v>#REF!</v>
      </c>
      <c r="AA6" s="917"/>
      <c r="AC6" s="873" t="s">
        <v>66</v>
      </c>
      <c r="AD6" s="874"/>
      <c r="AE6" s="874"/>
      <c r="AF6" s="874"/>
      <c r="AG6" s="874"/>
      <c r="AH6" s="875"/>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row>
    <row r="7" spans="1:87" ht="15" customHeight="1" x14ac:dyDescent="0.25">
      <c r="A7" s="36"/>
      <c r="B7" s="941"/>
      <c r="C7" s="941"/>
      <c r="D7" s="941"/>
      <c r="E7" s="898"/>
      <c r="F7" s="898"/>
      <c r="G7" s="898"/>
      <c r="H7" s="903"/>
      <c r="I7" s="904"/>
      <c r="J7" s="904"/>
      <c r="K7" s="906"/>
      <c r="L7" s="903"/>
      <c r="M7" s="904"/>
      <c r="N7" s="904"/>
      <c r="O7" s="906"/>
      <c r="P7" s="903"/>
      <c r="Q7" s="904"/>
      <c r="R7" s="904"/>
      <c r="S7" s="906"/>
      <c r="T7" s="903"/>
      <c r="U7" s="904"/>
      <c r="V7" s="904"/>
      <c r="W7" s="906"/>
      <c r="X7" s="915"/>
      <c r="Y7" s="916"/>
      <c r="Z7" s="916"/>
      <c r="AA7" s="918"/>
      <c r="AB7" s="36"/>
      <c r="AC7" s="876"/>
      <c r="AD7" s="877"/>
      <c r="AE7" s="877"/>
      <c r="AF7" s="877"/>
      <c r="AG7" s="877"/>
      <c r="AH7" s="878"/>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row>
    <row r="8" spans="1:87" ht="15" customHeight="1" x14ac:dyDescent="0.25">
      <c r="A8" s="36"/>
      <c r="B8" s="941"/>
      <c r="C8" s="941"/>
      <c r="D8" s="941"/>
      <c r="E8" s="898"/>
      <c r="F8" s="898"/>
      <c r="G8" s="898"/>
      <c r="H8" s="903" t="e">
        <f>IF(AND('2.Mapa final'!#REF!="Muy Alta",'2.Mapa final'!#REF!="Leve"),CONCATENATE("R",'2.Mapa final'!#REF!),"")</f>
        <v>#REF!</v>
      </c>
      <c r="I8" s="904"/>
      <c r="J8" s="904" t="str">
        <f>IF(AND('2.Mapa final'!$M$52="Muy Alta",'2.Mapa final'!$P$50="Leve"),CONCATENATE("R",'2.Mapa final'!$E$52),"")</f>
        <v/>
      </c>
      <c r="K8" s="906"/>
      <c r="L8" s="903" t="e">
        <f>IF(AND('2.Mapa final'!#REF!="Muy Alta",'2.Mapa final'!#REF!="Menor"),CONCATENATE("R",'2.Mapa final'!#REF!),"")</f>
        <v>#REF!</v>
      </c>
      <c r="M8" s="904"/>
      <c r="N8" s="904" t="e">
        <f>IF(AND('2.Mapa final'!#REF!="Muy Alta",'2.Mapa final'!#REF!="Menor"),CONCATENATE("R",'2.Mapa final'!#REF!),"")</f>
        <v>#REF!</v>
      </c>
      <c r="O8" s="906"/>
      <c r="P8" s="903" t="e">
        <f>IF(AND('2.Mapa final'!#REF!="Muy Alta",'2.Mapa final'!#REF!="Moderado"),CONCATENATE("R",'2.Mapa final'!#REF!),"")</f>
        <v>#REF!</v>
      </c>
      <c r="Q8" s="904"/>
      <c r="R8" s="904" t="e">
        <f>IF(AND('2.Mapa final'!#REF!="Muy Alta",'2.Mapa final'!#REF!="Moderado"),CONCATENATE("R",'2.Mapa final'!#REF!),"")</f>
        <v>#REF!</v>
      </c>
      <c r="S8" s="906"/>
      <c r="T8" s="903" t="e">
        <f>IF(AND('2.Mapa final'!#REF!="Muy Alta",'2.Mapa final'!#REF!="Mayor"),CONCATENATE("R",'2.Mapa final'!#REF!),"")</f>
        <v>#REF!</v>
      </c>
      <c r="U8" s="904"/>
      <c r="V8" s="904" t="e">
        <f>IF(AND('2.Mapa final'!#REF!="Muy Alta",'2.Mapa final'!#REF!="Mayor"),CONCATENATE("R",'2.Mapa final'!#REF!),"")</f>
        <v>#REF!</v>
      </c>
      <c r="W8" s="906"/>
      <c r="X8" s="915" t="e">
        <f>IF(AND('2.Mapa final'!#REF!="Muy Alta",'2.Mapa final'!#REF!="Catastrófico"),CONCATENATE("R",'2.Mapa final'!#REF!),"")</f>
        <v>#REF!</v>
      </c>
      <c r="Y8" s="916"/>
      <c r="Z8" s="916" t="e">
        <f>IF(AND('2.Mapa final'!#REF!="Muy Alta",'2.Mapa final'!#REF!="Catastrófico"),CONCATENATE("R",'2.Mapa final'!#REF!),"")</f>
        <v>#REF!</v>
      </c>
      <c r="AA8" s="918"/>
      <c r="AB8" s="36"/>
      <c r="AC8" s="876"/>
      <c r="AD8" s="877"/>
      <c r="AE8" s="877"/>
      <c r="AF8" s="877"/>
      <c r="AG8" s="877"/>
      <c r="AH8" s="878"/>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row>
    <row r="9" spans="1:87" ht="15" customHeight="1" thickBot="1" x14ac:dyDescent="0.3">
      <c r="A9" s="36"/>
      <c r="B9" s="941"/>
      <c r="C9" s="941"/>
      <c r="D9" s="941"/>
      <c r="E9" s="898"/>
      <c r="F9" s="898"/>
      <c r="G9" s="898"/>
      <c r="H9" s="907"/>
      <c r="I9" s="908"/>
      <c r="J9" s="908"/>
      <c r="K9" s="909"/>
      <c r="L9" s="907"/>
      <c r="M9" s="908"/>
      <c r="N9" s="908"/>
      <c r="O9" s="909"/>
      <c r="P9" s="907"/>
      <c r="Q9" s="908"/>
      <c r="R9" s="908"/>
      <c r="S9" s="909"/>
      <c r="T9" s="907"/>
      <c r="U9" s="908"/>
      <c r="V9" s="908"/>
      <c r="W9" s="909"/>
      <c r="X9" s="919"/>
      <c r="Y9" s="920"/>
      <c r="Z9" s="920"/>
      <c r="AA9" s="921"/>
      <c r="AB9" s="36"/>
      <c r="AC9" s="876"/>
      <c r="AD9" s="877"/>
      <c r="AE9" s="877"/>
      <c r="AF9" s="877"/>
      <c r="AG9" s="877"/>
      <c r="AH9" s="878"/>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row>
    <row r="10" spans="1:87" ht="15" customHeight="1" x14ac:dyDescent="0.25">
      <c r="A10" s="36"/>
      <c r="B10" s="941"/>
      <c r="C10" s="941"/>
      <c r="D10" s="941"/>
      <c r="E10" s="897" t="s">
        <v>101</v>
      </c>
      <c r="F10" s="898"/>
      <c r="G10" s="898"/>
      <c r="H10" s="922" t="str">
        <f>IF(AND('2.Mapa final'!$M$17="Alta",'2.Mapa final'!$P$17="Leve"),CONCATENATE("R",'2.Mapa final'!$E$19),"")</f>
        <v/>
      </c>
      <c r="I10" s="923"/>
      <c r="J10" s="923" t="e">
        <f>IF(AND('2.Mapa final'!#REF!="Alta",'2.Mapa final'!#REF!="Leve"),CONCATENATE("R",'2.Mapa final'!#REF!),"")</f>
        <v>#REF!</v>
      </c>
      <c r="K10" s="926"/>
      <c r="L10" s="922" t="str">
        <f>IF(AND('2.Mapa final'!$M$17="Alta",'2.Mapa final'!$P$17="Menor"),CONCATENATE("R",'2.Mapa final'!$E$19),"")</f>
        <v/>
      </c>
      <c r="M10" s="923"/>
      <c r="N10" s="923" t="e">
        <f>IF(AND('2.Mapa final'!#REF!="Alta",'2.Mapa final'!#REF!="Menor"),CONCATENATE("R",'2.Mapa final'!#REF!),"")</f>
        <v>#REF!</v>
      </c>
      <c r="O10" s="926"/>
      <c r="P10" s="901" t="str">
        <f>IF(AND('2.Mapa final'!$M$17="Alta",'2.Mapa final'!$P$17="Moderado"),CONCATENATE("R",'2.Mapa final'!$E$19),"")</f>
        <v/>
      </c>
      <c r="Q10" s="902"/>
      <c r="R10" s="902" t="e">
        <f>IF(AND('2.Mapa final'!#REF!="Alta",'2.Mapa final'!#REF!="Moderado"),CONCATENATE("R",'2.Mapa final'!#REF!),"")</f>
        <v>#REF!</v>
      </c>
      <c r="S10" s="905"/>
      <c r="T10" s="901" t="str">
        <f>IF(AND('2.Mapa final'!$M$17="Alta",'2.Mapa final'!$P$17="Mayor"),CONCATENATE("R",'2.Mapa final'!$E$19),"")</f>
        <v/>
      </c>
      <c r="U10" s="902"/>
      <c r="V10" s="902" t="e">
        <f>IF(AND('2.Mapa final'!#REF!="Alta",'2.Mapa final'!#REF!="Mayor"),CONCATENATE("R",'2.Mapa final'!#REF!),"")</f>
        <v>#REF!</v>
      </c>
      <c r="W10" s="905"/>
      <c r="X10" s="913" t="str">
        <f>IF(AND('2.Mapa final'!$M$17="Alta",'2.Mapa final'!$P$17="Catastrófico"),CONCATENATE("R",'2.Mapa final'!$E$19),"")</f>
        <v/>
      </c>
      <c r="Y10" s="914"/>
      <c r="Z10" s="914" t="e">
        <f>IF(AND('2.Mapa final'!#REF!="Alta",'2.Mapa final'!#REF!="Catastrófico"),CONCATENATE("R",'2.Mapa final'!#REF!),"")</f>
        <v>#REF!</v>
      </c>
      <c r="AA10" s="917"/>
      <c r="AB10" s="36"/>
      <c r="AC10" s="879" t="s">
        <v>67</v>
      </c>
      <c r="AD10" s="880"/>
      <c r="AE10" s="880"/>
      <c r="AF10" s="880"/>
      <c r="AG10" s="880"/>
      <c r="AH10" s="881"/>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row>
    <row r="11" spans="1:87" ht="15" customHeight="1" x14ac:dyDescent="0.25">
      <c r="A11" s="36"/>
      <c r="B11" s="941"/>
      <c r="C11" s="941"/>
      <c r="D11" s="941"/>
      <c r="E11" s="898"/>
      <c r="F11" s="898"/>
      <c r="G11" s="898"/>
      <c r="H11" s="924"/>
      <c r="I11" s="925"/>
      <c r="J11" s="925"/>
      <c r="K11" s="927"/>
      <c r="L11" s="924"/>
      <c r="M11" s="925"/>
      <c r="N11" s="925"/>
      <c r="O11" s="927"/>
      <c r="P11" s="903"/>
      <c r="Q11" s="904"/>
      <c r="R11" s="904"/>
      <c r="S11" s="906"/>
      <c r="T11" s="903"/>
      <c r="U11" s="904"/>
      <c r="V11" s="904"/>
      <c r="W11" s="906"/>
      <c r="X11" s="915"/>
      <c r="Y11" s="916"/>
      <c r="Z11" s="916"/>
      <c r="AA11" s="918"/>
      <c r="AB11" s="36"/>
      <c r="AC11" s="882"/>
      <c r="AD11" s="883"/>
      <c r="AE11" s="883"/>
      <c r="AF11" s="883"/>
      <c r="AG11" s="883"/>
      <c r="AH11" s="884"/>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row>
    <row r="12" spans="1:87" ht="15" customHeight="1" x14ac:dyDescent="0.25">
      <c r="A12" s="36"/>
      <c r="B12" s="941"/>
      <c r="C12" s="941"/>
      <c r="D12" s="941"/>
      <c r="E12" s="898"/>
      <c r="F12" s="898"/>
      <c r="G12" s="898"/>
      <c r="H12" s="924" t="e">
        <f>IF(AND('2.Mapa final'!#REF!="Alta",'2.Mapa final'!#REF!="Leve"),CONCATENATE("R",'2.Mapa final'!#REF!),"")</f>
        <v>#REF!</v>
      </c>
      <c r="I12" s="925"/>
      <c r="J12" s="925" t="e">
        <f>IF(AND('2.Mapa final'!#REF!="Alta",'2.Mapa final'!#REF!="Leve"),CONCATENATE("R",'2.Mapa final'!#REF!),"")</f>
        <v>#REF!</v>
      </c>
      <c r="K12" s="927"/>
      <c r="L12" s="924" t="e">
        <f>IF(AND('2.Mapa final'!#REF!="Alta",'2.Mapa final'!#REF!="Menor"),CONCATENATE("R",'2.Mapa final'!#REF!),"")</f>
        <v>#REF!</v>
      </c>
      <c r="M12" s="925"/>
      <c r="N12" s="925" t="e">
        <f>IF(AND('2.Mapa final'!#REF!="Alta",'2.Mapa final'!#REF!="Menor"),CONCATENATE("R",'2.Mapa final'!#REF!),"")</f>
        <v>#REF!</v>
      </c>
      <c r="O12" s="927"/>
      <c r="P12" s="903" t="e">
        <f>IF(AND('2.Mapa final'!#REF!="Alta",'2.Mapa final'!#REF!="Moderado"),CONCATENATE("R",'2.Mapa final'!#REF!),"")</f>
        <v>#REF!</v>
      </c>
      <c r="Q12" s="904"/>
      <c r="R12" s="904" t="e">
        <f>IF(AND('2.Mapa final'!#REF!="Alta",'2.Mapa final'!#REF!="Moderado"),CONCATENATE("R",'2.Mapa final'!#REF!),"")</f>
        <v>#REF!</v>
      </c>
      <c r="S12" s="906"/>
      <c r="T12" s="903" t="e">
        <f>IF(AND('2.Mapa final'!#REF!="Alta",'2.Mapa final'!#REF!="Mayor"),CONCATENATE("R",'2.Mapa final'!#REF!),"")</f>
        <v>#REF!</v>
      </c>
      <c r="U12" s="904"/>
      <c r="V12" s="904" t="e">
        <f>IF(AND('2.Mapa final'!#REF!="Alta",'2.Mapa final'!#REF!="Mayor"),CONCATENATE("R",'2.Mapa final'!#REF!),"")</f>
        <v>#REF!</v>
      </c>
      <c r="W12" s="906"/>
      <c r="X12" s="915" t="e">
        <f>IF(AND('2.Mapa final'!#REF!="Alta",'2.Mapa final'!#REF!="Catastrófico"),CONCATENATE("R",'2.Mapa final'!#REF!),"")</f>
        <v>#REF!</v>
      </c>
      <c r="Y12" s="916"/>
      <c r="Z12" s="916" t="e">
        <f>IF(AND('2.Mapa final'!#REF!="Alta",'2.Mapa final'!#REF!="Catastrófico"),CONCATENATE("R",'2.Mapa final'!#REF!),"")</f>
        <v>#REF!</v>
      </c>
      <c r="AA12" s="918"/>
      <c r="AB12" s="36"/>
      <c r="AC12" s="882"/>
      <c r="AD12" s="883"/>
      <c r="AE12" s="883"/>
      <c r="AF12" s="883"/>
      <c r="AG12" s="883"/>
      <c r="AH12" s="884"/>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row>
    <row r="13" spans="1:87" ht="15" customHeight="1" thickBot="1" x14ac:dyDescent="0.3">
      <c r="A13" s="36"/>
      <c r="B13" s="941"/>
      <c r="C13" s="941"/>
      <c r="D13" s="941"/>
      <c r="E13" s="898"/>
      <c r="F13" s="898"/>
      <c r="G13" s="898"/>
      <c r="H13" s="928"/>
      <c r="I13" s="929"/>
      <c r="J13" s="929"/>
      <c r="K13" s="930"/>
      <c r="L13" s="928"/>
      <c r="M13" s="929"/>
      <c r="N13" s="929"/>
      <c r="O13" s="930"/>
      <c r="P13" s="907"/>
      <c r="Q13" s="908"/>
      <c r="R13" s="908"/>
      <c r="S13" s="909"/>
      <c r="T13" s="907"/>
      <c r="U13" s="908"/>
      <c r="V13" s="908"/>
      <c r="W13" s="909"/>
      <c r="X13" s="919"/>
      <c r="Y13" s="920"/>
      <c r="Z13" s="920"/>
      <c r="AA13" s="921"/>
      <c r="AB13" s="36"/>
      <c r="AC13" s="882"/>
      <c r="AD13" s="883"/>
      <c r="AE13" s="883"/>
      <c r="AF13" s="883"/>
      <c r="AG13" s="883"/>
      <c r="AH13" s="884"/>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row>
    <row r="14" spans="1:87" ht="15" customHeight="1" x14ac:dyDescent="0.25">
      <c r="A14" s="36"/>
      <c r="B14" s="941"/>
      <c r="C14" s="941"/>
      <c r="D14" s="941"/>
      <c r="E14" s="897" t="s">
        <v>103</v>
      </c>
      <c r="F14" s="898"/>
      <c r="G14" s="898"/>
      <c r="H14" s="922" t="str">
        <f>IF(AND('2.Mapa final'!$M$17="Media",'2.Mapa final'!$P$17="Leve"),CONCATENATE("R",'2.Mapa final'!$E$19),"")</f>
        <v/>
      </c>
      <c r="I14" s="923"/>
      <c r="J14" s="923" t="e">
        <f>IF(AND('2.Mapa final'!#REF!="Media",'2.Mapa final'!#REF!="Leve"),CONCATENATE("R",'2.Mapa final'!#REF!),"")</f>
        <v>#REF!</v>
      </c>
      <c r="K14" s="926"/>
      <c r="L14" s="922" t="str">
        <f>IF(AND('2.Mapa final'!$M$17="Media",'2.Mapa final'!$P$17="Menor"),CONCATENATE("R",'2.Mapa final'!$E$19),"")</f>
        <v>R</v>
      </c>
      <c r="M14" s="923"/>
      <c r="N14" s="923" t="e">
        <f>IF(AND('2.Mapa final'!#REF!="Media",'2.Mapa final'!#REF!="Menor"),CONCATENATE("R",'2.Mapa final'!#REF!),"")</f>
        <v>#REF!</v>
      </c>
      <c r="O14" s="926"/>
      <c r="P14" s="922" t="str">
        <f>IF(AND('2.Mapa final'!$M$17="Media",'2.Mapa final'!$P$17="Moderado"),CONCATENATE("R",'2.Mapa final'!$E$19),"")</f>
        <v/>
      </c>
      <c r="Q14" s="923"/>
      <c r="R14" s="923" t="e">
        <f>IF(AND('2.Mapa final'!#REF!="Media",'2.Mapa final'!#REF!="Moderado"),CONCATENATE("R",'2.Mapa final'!#REF!),"")</f>
        <v>#REF!</v>
      </c>
      <c r="S14" s="926"/>
      <c r="T14" s="901" t="str">
        <f>IF(AND('2.Mapa final'!$M$17="Media",'2.Mapa final'!$P$17="Mayor"),CONCATENATE("R",'2.Mapa final'!$E$19),"")</f>
        <v/>
      </c>
      <c r="U14" s="902"/>
      <c r="V14" s="902" t="e">
        <f>IF(AND('2.Mapa final'!#REF!="Media",'2.Mapa final'!#REF!="Mayor"),CONCATENATE("R",'2.Mapa final'!#REF!),"")</f>
        <v>#REF!</v>
      </c>
      <c r="W14" s="905"/>
      <c r="X14" s="913" t="str">
        <f>IF(AND('2.Mapa final'!$M$17="Media",'2.Mapa final'!$P$17="Catastrófico"),CONCATENATE("R",'2.Mapa final'!$E$19),"")</f>
        <v/>
      </c>
      <c r="Y14" s="914"/>
      <c r="Z14" s="914" t="e">
        <f>IF(AND('2.Mapa final'!#REF!="Media",'2.Mapa final'!#REF!="Catastrófico"),CONCATENATE("R",'2.Mapa final'!#REF!),"")</f>
        <v>#REF!</v>
      </c>
      <c r="AA14" s="917"/>
      <c r="AB14" s="36"/>
      <c r="AC14" s="885" t="s">
        <v>68</v>
      </c>
      <c r="AD14" s="886"/>
      <c r="AE14" s="886"/>
      <c r="AF14" s="886"/>
      <c r="AG14" s="886"/>
      <c r="AH14" s="887"/>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row>
    <row r="15" spans="1:87" ht="15" customHeight="1" x14ac:dyDescent="0.25">
      <c r="A15" s="36"/>
      <c r="B15" s="941"/>
      <c r="C15" s="941"/>
      <c r="D15" s="941"/>
      <c r="E15" s="898"/>
      <c r="F15" s="898"/>
      <c r="G15" s="898"/>
      <c r="H15" s="924"/>
      <c r="I15" s="925"/>
      <c r="J15" s="925"/>
      <c r="K15" s="927"/>
      <c r="L15" s="924"/>
      <c r="M15" s="925"/>
      <c r="N15" s="925"/>
      <c r="O15" s="927"/>
      <c r="P15" s="924"/>
      <c r="Q15" s="925"/>
      <c r="R15" s="925"/>
      <c r="S15" s="927"/>
      <c r="T15" s="903"/>
      <c r="U15" s="904"/>
      <c r="V15" s="904"/>
      <c r="W15" s="906"/>
      <c r="X15" s="915"/>
      <c r="Y15" s="916"/>
      <c r="Z15" s="916"/>
      <c r="AA15" s="918"/>
      <c r="AB15" s="36"/>
      <c r="AC15" s="888"/>
      <c r="AD15" s="889"/>
      <c r="AE15" s="889"/>
      <c r="AF15" s="889"/>
      <c r="AG15" s="889"/>
      <c r="AH15" s="890"/>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row>
    <row r="16" spans="1:87" ht="15" customHeight="1" x14ac:dyDescent="0.25">
      <c r="A16" s="36"/>
      <c r="B16" s="941"/>
      <c r="C16" s="941"/>
      <c r="D16" s="941"/>
      <c r="E16" s="898"/>
      <c r="F16" s="898"/>
      <c r="G16" s="898"/>
      <c r="H16" s="924" t="e">
        <f>IF(AND('2.Mapa final'!#REF!="Media",'2.Mapa final'!#REF!="Leve"),CONCATENATE("R",'2.Mapa final'!#REF!),"")</f>
        <v>#REF!</v>
      </c>
      <c r="I16" s="925"/>
      <c r="J16" s="925" t="e">
        <f>IF(AND('2.Mapa final'!#REF!="Media",'2.Mapa final'!#REF!="Leve"),CONCATENATE("R",'2.Mapa final'!#REF!),"")</f>
        <v>#REF!</v>
      </c>
      <c r="K16" s="927"/>
      <c r="L16" s="924" t="e">
        <f>IF(AND('2.Mapa final'!#REF!="Media",'2.Mapa final'!#REF!="Menor"),CONCATENATE("R",'2.Mapa final'!#REF!),"")</f>
        <v>#REF!</v>
      </c>
      <c r="M16" s="925"/>
      <c r="N16" s="925" t="e">
        <f>IF(AND('2.Mapa final'!#REF!="Media",'2.Mapa final'!#REF!="Menor"),CONCATENATE("R",'2.Mapa final'!$C$2),"")</f>
        <v>#REF!</v>
      </c>
      <c r="O16" s="927"/>
      <c r="P16" s="924" t="e">
        <f>IF(AND('2.Mapa final'!#REF!="Media",'2.Mapa final'!#REF!="Moderado"),CONCATENATE("R",'2.Mapa final'!#REF!),"")</f>
        <v>#REF!</v>
      </c>
      <c r="Q16" s="925"/>
      <c r="R16" s="925" t="e">
        <f>IF(AND('2.Mapa final'!#REF!="Media",'2.Mapa final'!#REF!="Moderado"),CONCATENATE("R",'2.Mapa final'!#REF!),"")</f>
        <v>#REF!</v>
      </c>
      <c r="S16" s="927"/>
      <c r="T16" s="903" t="e">
        <f>IF(AND('2.Mapa final'!#REF!="Media",'2.Mapa final'!#REF!="Mayor"),CONCATENATE("R",'2.Mapa final'!#REF!),"")</f>
        <v>#REF!</v>
      </c>
      <c r="U16" s="904"/>
      <c r="V16" s="904" t="e">
        <f>IF(AND('2.Mapa final'!#REF!="Media",'2.Mapa final'!#REF!="Mayor"),CONCATENATE("R",'2.Mapa final'!#REF!),"")</f>
        <v>#REF!</v>
      </c>
      <c r="W16" s="906"/>
      <c r="X16" s="915" t="e">
        <f>IF(AND('2.Mapa final'!#REF!="Media",'2.Mapa final'!#REF!="Catastrófico"),CONCATENATE("R",'2.Mapa final'!#REF!),"")</f>
        <v>#REF!</v>
      </c>
      <c r="Y16" s="916"/>
      <c r="Z16" s="916" t="e">
        <f>IF(AND('2.Mapa final'!#REF!="Media",'2.Mapa final'!#REF!="Catastrófico"),CONCATENATE("R",'2.Mapa final'!#REF!),"")</f>
        <v>#REF!</v>
      </c>
      <c r="AA16" s="918"/>
      <c r="AB16" s="36"/>
      <c r="AC16" s="888"/>
      <c r="AD16" s="889"/>
      <c r="AE16" s="889"/>
      <c r="AF16" s="889"/>
      <c r="AG16" s="889"/>
      <c r="AH16" s="890"/>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row>
    <row r="17" spans="1:68" ht="15" customHeight="1" thickBot="1" x14ac:dyDescent="0.3">
      <c r="A17" s="36"/>
      <c r="B17" s="941"/>
      <c r="C17" s="941"/>
      <c r="D17" s="941"/>
      <c r="E17" s="898"/>
      <c r="F17" s="898"/>
      <c r="G17" s="898"/>
      <c r="H17" s="928"/>
      <c r="I17" s="929"/>
      <c r="J17" s="929"/>
      <c r="K17" s="930"/>
      <c r="L17" s="928"/>
      <c r="M17" s="929"/>
      <c r="N17" s="929"/>
      <c r="O17" s="930"/>
      <c r="P17" s="928"/>
      <c r="Q17" s="929"/>
      <c r="R17" s="929"/>
      <c r="S17" s="930"/>
      <c r="T17" s="907"/>
      <c r="U17" s="908"/>
      <c r="V17" s="908"/>
      <c r="W17" s="909"/>
      <c r="X17" s="919"/>
      <c r="Y17" s="920"/>
      <c r="Z17" s="920"/>
      <c r="AA17" s="921"/>
      <c r="AB17" s="36"/>
      <c r="AC17" s="888"/>
      <c r="AD17" s="889"/>
      <c r="AE17" s="889"/>
      <c r="AF17" s="889"/>
      <c r="AG17" s="889"/>
      <c r="AH17" s="890"/>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row>
    <row r="18" spans="1:68" ht="15" customHeight="1" x14ac:dyDescent="0.25">
      <c r="A18" s="36"/>
      <c r="B18" s="941"/>
      <c r="C18" s="941"/>
      <c r="D18" s="941"/>
      <c r="E18" s="897" t="s">
        <v>100</v>
      </c>
      <c r="F18" s="898"/>
      <c r="G18" s="898"/>
      <c r="H18" s="935" t="str">
        <f>IF(AND('2.Mapa final'!$M$17="Baja",'2.Mapa final'!$P$17="Leve"),CONCATENATE("R",'2.Mapa final'!$E$19),"")</f>
        <v/>
      </c>
      <c r="I18" s="935"/>
      <c r="J18" s="935" t="e">
        <f>IF(AND('2.Mapa final'!#REF!="Baja",'2.Mapa final'!#REF!="Leve"),CONCATENATE("R",'2.Mapa final'!#REF!),"")</f>
        <v>#REF!</v>
      </c>
      <c r="K18" s="935"/>
      <c r="L18" s="922" t="str">
        <f>IF(AND('2.Mapa final'!$M$17="Baja",'2.Mapa final'!$P$17="Menor"),CONCATENATE("R",'2.Mapa final'!$E$19),"")</f>
        <v/>
      </c>
      <c r="M18" s="923"/>
      <c r="N18" s="923" t="e">
        <f>IF(AND('2.Mapa final'!#REF!="Baja",'2.Mapa final'!#REF!="Menor"),CONCATENATE("R",'2.Mapa final'!#REF!),"")</f>
        <v>#REF!</v>
      </c>
      <c r="O18" s="926"/>
      <c r="P18" s="922" t="str">
        <f>IF(AND('2.Mapa final'!$M$17="Baja",'2.Mapa final'!$P$17="Moderado"),CONCATENATE("R",'2.Mapa final'!$E$19),"")</f>
        <v/>
      </c>
      <c r="Q18" s="923"/>
      <c r="R18" s="923" t="e">
        <f>IF(AND('2.Mapa final'!#REF!="Baja",'2.Mapa final'!#REF!="Moderado"),CONCATENATE("R",'2.Mapa final'!#REF!),"")</f>
        <v>#REF!</v>
      </c>
      <c r="S18" s="926"/>
      <c r="T18" s="901" t="str">
        <f>IF(AND('2.Mapa final'!$M$17="Baja",'2.Mapa final'!$P$17="Mayor"),CONCATENATE("R",'2.Mapa final'!$E$19),"")</f>
        <v/>
      </c>
      <c r="U18" s="902"/>
      <c r="V18" s="902" t="e">
        <f>IF(AND('2.Mapa final'!#REF!="Baja",'2.Mapa final'!#REF!="Mayor"),CONCATENATE("R",'2.Mapa final'!#REF!),"")</f>
        <v>#REF!</v>
      </c>
      <c r="W18" s="905"/>
      <c r="X18" s="913" t="str">
        <f>IF(AND('2.Mapa final'!$M$17="Baja",'2.Mapa final'!$P$17="Catastrófico"),CONCATENATE("R",'2.Mapa final'!$E$19),"")</f>
        <v/>
      </c>
      <c r="Y18" s="914"/>
      <c r="Z18" s="914" t="e">
        <f>IF(AND('2.Mapa final'!#REF!="Baja",'2.Mapa final'!#REF!="Catastrófico"),CONCATENATE("R",'2.Mapa final'!#REF!),"")</f>
        <v>#REF!</v>
      </c>
      <c r="AA18" s="917"/>
      <c r="AB18" s="36"/>
      <c r="AC18" s="891" t="s">
        <v>69</v>
      </c>
      <c r="AD18" s="892"/>
      <c r="AE18" s="892"/>
      <c r="AF18" s="892"/>
      <c r="AG18" s="892"/>
      <c r="AH18" s="893"/>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row>
    <row r="19" spans="1:68" ht="15" customHeight="1" x14ac:dyDescent="0.25">
      <c r="A19" s="36"/>
      <c r="B19" s="941"/>
      <c r="C19" s="941"/>
      <c r="D19" s="941"/>
      <c r="E19" s="898"/>
      <c r="F19" s="898"/>
      <c r="G19" s="898"/>
      <c r="H19" s="935"/>
      <c r="I19" s="935"/>
      <c r="J19" s="935"/>
      <c r="K19" s="935"/>
      <c r="L19" s="924"/>
      <c r="M19" s="925"/>
      <c r="N19" s="925"/>
      <c r="O19" s="927"/>
      <c r="P19" s="924"/>
      <c r="Q19" s="925"/>
      <c r="R19" s="925"/>
      <c r="S19" s="927"/>
      <c r="T19" s="903"/>
      <c r="U19" s="904"/>
      <c r="V19" s="904"/>
      <c r="W19" s="906"/>
      <c r="X19" s="915"/>
      <c r="Y19" s="916"/>
      <c r="Z19" s="916"/>
      <c r="AA19" s="918"/>
      <c r="AB19" s="36"/>
      <c r="AC19" s="894"/>
      <c r="AD19" s="895"/>
      <c r="AE19" s="895"/>
      <c r="AF19" s="895"/>
      <c r="AG19" s="895"/>
      <c r="AH19" s="89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row>
    <row r="20" spans="1:68" ht="15" customHeight="1" x14ac:dyDescent="0.25">
      <c r="A20" s="36"/>
      <c r="B20" s="941"/>
      <c r="C20" s="941"/>
      <c r="D20" s="941"/>
      <c r="E20" s="898"/>
      <c r="F20" s="898"/>
      <c r="G20" s="898"/>
      <c r="H20" s="935" t="e">
        <f>IF(AND('2.Mapa final'!#REF!="Baja",'2.Mapa final'!#REF!="Leve"),CONCATENATE("R",'2.Mapa final'!#REF!),"")</f>
        <v>#REF!</v>
      </c>
      <c r="I20" s="935"/>
      <c r="J20" s="935" t="e">
        <f>IF(AND('2.Mapa final'!#REF!="Baja",'2.Mapa final'!#REF!="Leve"),CONCATENATE("R",'2.Mapa final'!#REF!),"")</f>
        <v>#REF!</v>
      </c>
      <c r="K20" s="935"/>
      <c r="L20" s="924" t="e">
        <f>IF(AND('2.Mapa final'!#REF!="Baja",'2.Mapa final'!#REF!="Menor"),CONCATENATE("R",'2.Mapa final'!#REF!),"")</f>
        <v>#REF!</v>
      </c>
      <c r="M20" s="925"/>
      <c r="N20" s="925" t="e">
        <f>IF(AND('2.Mapa final'!#REF!="Baja",'2.Mapa final'!#REF!="Menor"),CONCATENATE("R",'2.Mapa final'!#REF!),"")</f>
        <v>#REF!</v>
      </c>
      <c r="O20" s="927"/>
      <c r="P20" s="924" t="e">
        <f>IF(AND('2.Mapa final'!#REF!="Baja",'2.Mapa final'!#REF!="Moderado"),CONCATENATE("R",'2.Mapa final'!#REF!),"")</f>
        <v>#REF!</v>
      </c>
      <c r="Q20" s="925"/>
      <c r="R20" s="925" t="e">
        <f>IF(AND('2.Mapa final'!#REF!="Baja",'2.Mapa final'!#REF!="Moderado"),CONCATENATE("R",'2.Mapa final'!#REF!),"")</f>
        <v>#REF!</v>
      </c>
      <c r="S20" s="927"/>
      <c r="T20" s="903" t="e">
        <f>IF(AND('2.Mapa final'!#REF!="Baja",'2.Mapa final'!#REF!="Mayor"),CONCATENATE("R",'2.Mapa final'!#REF!),"")</f>
        <v>#REF!</v>
      </c>
      <c r="U20" s="904"/>
      <c r="V20" s="904" t="e">
        <f>IF(AND('2.Mapa final'!#REF!="Baja",'2.Mapa final'!#REF!="Mayor"),CONCATENATE("R",'2.Mapa final'!#REF!),"")</f>
        <v>#REF!</v>
      </c>
      <c r="W20" s="906"/>
      <c r="X20" s="915" t="e">
        <f>IF(AND('2.Mapa final'!#REF!="Baja",'2.Mapa final'!#REF!="Catastrófico"),CONCATENATE("R",'2.Mapa final'!#REF!),"")</f>
        <v>#REF!</v>
      </c>
      <c r="Y20" s="916"/>
      <c r="Z20" s="916" t="e">
        <f>IF(AND('2.Mapa final'!#REF!="Baja",'2.Mapa final'!#REF!="Catastrófico"),CONCATENATE("R",'2.Mapa final'!#REF!),"")</f>
        <v>#REF!</v>
      </c>
      <c r="AA20" s="918"/>
      <c r="AB20" s="36"/>
      <c r="AC20" s="894"/>
      <c r="AD20" s="895"/>
      <c r="AE20" s="895"/>
      <c r="AF20" s="895"/>
      <c r="AG20" s="895"/>
      <c r="AH20" s="89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row>
    <row r="21" spans="1:68" ht="15" customHeight="1" x14ac:dyDescent="0.25">
      <c r="A21" s="36"/>
      <c r="B21" s="941"/>
      <c r="C21" s="941"/>
      <c r="D21" s="941"/>
      <c r="E21" s="898"/>
      <c r="F21" s="898"/>
      <c r="G21" s="898"/>
      <c r="H21" s="935"/>
      <c r="I21" s="935"/>
      <c r="J21" s="935"/>
      <c r="K21" s="935"/>
      <c r="L21" s="928"/>
      <c r="M21" s="929"/>
      <c r="N21" s="929"/>
      <c r="O21" s="930"/>
      <c r="P21" s="928"/>
      <c r="Q21" s="929"/>
      <c r="R21" s="929"/>
      <c r="S21" s="930"/>
      <c r="T21" s="907"/>
      <c r="U21" s="908"/>
      <c r="V21" s="908"/>
      <c r="W21" s="909"/>
      <c r="X21" s="919"/>
      <c r="Y21" s="920"/>
      <c r="Z21" s="920"/>
      <c r="AA21" s="921"/>
      <c r="AB21" s="36"/>
      <c r="AC21" s="894"/>
      <c r="AD21" s="895"/>
      <c r="AE21" s="895"/>
      <c r="AF21" s="895"/>
      <c r="AG21" s="895"/>
      <c r="AH21" s="89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row>
    <row r="22" spans="1:68" ht="15" customHeight="1" x14ac:dyDescent="0.25">
      <c r="A22" s="36"/>
      <c r="B22" s="941"/>
      <c r="C22" s="941"/>
      <c r="D22" s="941"/>
      <c r="E22" s="897" t="s">
        <v>99</v>
      </c>
      <c r="F22" s="898"/>
      <c r="G22" s="898"/>
      <c r="H22" s="932" t="str">
        <f>IF(AND('2.Mapa final'!$M$17="Muy Baja",'2.Mapa final'!$P$17="Leve"),CONCATENATE("R",'2.Mapa final'!$E$19),"")</f>
        <v/>
      </c>
      <c r="I22" s="933"/>
      <c r="J22" s="933" t="e">
        <f>IF(AND('2.Mapa final'!#REF!="Muy Baja",'2.Mapa final'!#REF!="Leve"),CONCATENATE("R",'2.Mapa final'!#REF!),"")</f>
        <v>#REF!</v>
      </c>
      <c r="K22" s="936"/>
      <c r="L22" s="932" t="str">
        <f>IF(AND('2.Mapa final'!$M$17="Muy Baja",'2.Mapa final'!$P$17="Menor"),CONCATENATE("R",'2.Mapa final'!$E$19),"")</f>
        <v/>
      </c>
      <c r="M22" s="933"/>
      <c r="N22" s="933" t="e">
        <f>IF(AND('2.Mapa final'!#REF!="Muy Baja",'2.Mapa final'!#REF!="Menor"),CONCATENATE("R",'2.Mapa final'!#REF!),"")</f>
        <v>#REF!</v>
      </c>
      <c r="O22" s="936"/>
      <c r="P22" s="922" t="str">
        <f>IF(AND('2.Mapa final'!$M$17="Muy Baja",'2.Mapa final'!$P$17="Moderado"),CONCATENATE("R",'2.Mapa final'!$E$19),"")</f>
        <v/>
      </c>
      <c r="Q22" s="923"/>
      <c r="R22" s="923" t="e">
        <f>IF(AND('2.Mapa final'!#REF!="Muy Baja",'2.Mapa final'!#REF!="Moderado"),CONCATENATE("R",'2.Mapa final'!#REF!),"")</f>
        <v>#REF!</v>
      </c>
      <c r="S22" s="926"/>
      <c r="T22" s="901" t="str">
        <f>IF(AND('2.Mapa final'!$M$17="Muy Baja",'2.Mapa final'!$P$17="Mayor"),CONCATENATE("R",'2.Mapa final'!$E$19),"")</f>
        <v/>
      </c>
      <c r="U22" s="902"/>
      <c r="V22" s="902" t="e">
        <f>IF(AND('2.Mapa final'!#REF!="Muy Baja",'2.Mapa final'!#REF!="Mayor"),CONCATENATE("R",'2.Mapa final'!#REF!),"")</f>
        <v>#REF!</v>
      </c>
      <c r="W22" s="905"/>
      <c r="X22" s="913" t="str">
        <f>IF(AND('2.Mapa final'!$M$17="Muy Baja",'2.Mapa final'!$P$17="Catastrófico"),CONCATENATE("R",'2.Mapa final'!$E$19),"")</f>
        <v/>
      </c>
      <c r="Y22" s="914"/>
      <c r="Z22" s="914" t="e">
        <f>IF(AND('2.Mapa final'!#REF!="Muy Baja",'2.Mapa final'!#REF!="Catastrófico"),CONCATENATE("R",'2.Mapa final'!#REF!),"")</f>
        <v>#REF!</v>
      </c>
      <c r="AA22" s="917"/>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row>
    <row r="23" spans="1:68" ht="15" customHeight="1" x14ac:dyDescent="0.25">
      <c r="A23" s="36"/>
      <c r="B23" s="941"/>
      <c r="C23" s="941"/>
      <c r="D23" s="941"/>
      <c r="E23" s="898"/>
      <c r="F23" s="898"/>
      <c r="G23" s="898"/>
      <c r="H23" s="934"/>
      <c r="I23" s="935"/>
      <c r="J23" s="935"/>
      <c r="K23" s="937"/>
      <c r="L23" s="934"/>
      <c r="M23" s="935"/>
      <c r="N23" s="935"/>
      <c r="O23" s="937"/>
      <c r="P23" s="924"/>
      <c r="Q23" s="925"/>
      <c r="R23" s="925"/>
      <c r="S23" s="927"/>
      <c r="T23" s="903"/>
      <c r="U23" s="904"/>
      <c r="V23" s="904"/>
      <c r="W23" s="906"/>
      <c r="X23" s="915"/>
      <c r="Y23" s="916"/>
      <c r="Z23" s="916"/>
      <c r="AA23" s="918"/>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row>
    <row r="24" spans="1:68" ht="15" customHeight="1" x14ac:dyDescent="0.25">
      <c r="A24" s="36"/>
      <c r="B24" s="941"/>
      <c r="C24" s="941"/>
      <c r="D24" s="941"/>
      <c r="E24" s="898"/>
      <c r="F24" s="898"/>
      <c r="G24" s="898"/>
      <c r="H24" s="934" t="e">
        <f>IF(AND('2.Mapa final'!#REF!="Muy Baja",'2.Mapa final'!#REF!="Leve"),CONCATENATE("R",'2.Mapa final'!#REF!),"")</f>
        <v>#REF!</v>
      </c>
      <c r="I24" s="935"/>
      <c r="J24" s="935" t="e">
        <f>IF(AND('2.Mapa final'!#REF!="Muy Baja",'2.Mapa final'!#REF!="Leve"),CONCATENATE("R",'2.Mapa final'!#REF!),"")</f>
        <v>#REF!</v>
      </c>
      <c r="K24" s="937"/>
      <c r="L24" s="934" t="e">
        <f>IF(AND('2.Mapa final'!#REF!="Muy Baja",'2.Mapa final'!#REF!="Menor"),CONCATENATE("R",'2.Mapa final'!#REF!),"")</f>
        <v>#REF!</v>
      </c>
      <c r="M24" s="935"/>
      <c r="N24" s="935" t="e">
        <f>IF(AND('2.Mapa final'!#REF!="Muy Baja",'2.Mapa final'!#REF!="Menor"),CONCATENATE("R",'2.Mapa final'!#REF!),"")</f>
        <v>#REF!</v>
      </c>
      <c r="O24" s="937"/>
      <c r="P24" s="924" t="e">
        <f>IF(AND('2.Mapa final'!#REF!="Muy Baja",'2.Mapa final'!#REF!="Moderado"),CONCATENATE("R",'2.Mapa final'!#REF!),"")</f>
        <v>#REF!</v>
      </c>
      <c r="Q24" s="925"/>
      <c r="R24" s="925" t="e">
        <f>IF(AND('2.Mapa final'!#REF!="Muy Baja",'2.Mapa final'!#REF!="Moderado"),CONCATENATE("R",'2.Mapa final'!#REF!),"")</f>
        <v>#REF!</v>
      </c>
      <c r="S24" s="927"/>
      <c r="T24" s="903" t="e">
        <f>IF(AND('2.Mapa final'!#REF!="Muy Baja",'2.Mapa final'!#REF!="Mayor"),CONCATENATE("R",'2.Mapa final'!#REF!),"")</f>
        <v>#REF!</v>
      </c>
      <c r="U24" s="904"/>
      <c r="V24" s="904" t="e">
        <f>IF(AND('2.Mapa final'!#REF!="Muy Baja",'2.Mapa final'!#REF!="Mayor"),CONCATENATE("R",'2.Mapa final'!#REF!),"")</f>
        <v>#REF!</v>
      </c>
      <c r="W24" s="906"/>
      <c r="X24" s="915" t="e">
        <f>IF(AND('2.Mapa final'!#REF!="Muy Baja",'2.Mapa final'!#REF!="Catastrófico"),CONCATENATE("R",'2.Mapa final'!#REF!),"")</f>
        <v>#REF!</v>
      </c>
      <c r="Y24" s="916"/>
      <c r="Z24" s="916" t="e">
        <f>IF(AND('2.Mapa final'!#REF!="Muy Baja",'2.Mapa final'!#REF!="Catastrófico"),CONCATENATE("R",'2.Mapa final'!#REF!),"")</f>
        <v>#REF!</v>
      </c>
      <c r="AA24" s="918"/>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row>
    <row r="25" spans="1:68" ht="15" customHeight="1" x14ac:dyDescent="0.25">
      <c r="A25" s="36"/>
      <c r="B25" s="941"/>
      <c r="C25" s="941"/>
      <c r="D25" s="941"/>
      <c r="E25" s="898"/>
      <c r="F25" s="898"/>
      <c r="G25" s="898"/>
      <c r="H25" s="938"/>
      <c r="I25" s="939"/>
      <c r="J25" s="939"/>
      <c r="K25" s="940"/>
      <c r="L25" s="938"/>
      <c r="M25" s="939"/>
      <c r="N25" s="939"/>
      <c r="O25" s="940"/>
      <c r="P25" s="928"/>
      <c r="Q25" s="929"/>
      <c r="R25" s="929"/>
      <c r="S25" s="930"/>
      <c r="T25" s="907"/>
      <c r="U25" s="908"/>
      <c r="V25" s="908"/>
      <c r="W25" s="909"/>
      <c r="X25" s="919"/>
      <c r="Y25" s="920"/>
      <c r="Z25" s="920"/>
      <c r="AA25" s="921"/>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row>
    <row r="26" spans="1:68" x14ac:dyDescent="0.25">
      <c r="A26" s="36"/>
      <c r="B26" s="36"/>
      <c r="C26" s="36"/>
      <c r="D26" s="36"/>
      <c r="E26" s="36"/>
      <c r="F26" s="36"/>
      <c r="G26" s="36"/>
      <c r="H26" s="899" t="s">
        <v>98</v>
      </c>
      <c r="I26" s="900"/>
      <c r="J26" s="900"/>
      <c r="K26" s="900"/>
      <c r="L26" s="899" t="s">
        <v>97</v>
      </c>
      <c r="M26" s="900"/>
      <c r="N26" s="900"/>
      <c r="O26" s="900"/>
      <c r="P26" s="899" t="s">
        <v>96</v>
      </c>
      <c r="Q26" s="900"/>
      <c r="R26" s="900"/>
      <c r="S26" s="900"/>
      <c r="T26" s="899" t="s">
        <v>95</v>
      </c>
      <c r="U26" s="899"/>
      <c r="V26" s="900"/>
      <c r="W26" s="900"/>
      <c r="X26" s="910" t="s">
        <v>94</v>
      </c>
      <c r="Y26" s="911"/>
      <c r="Z26" s="911"/>
      <c r="AA26" s="911"/>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row>
    <row r="27" spans="1:68" x14ac:dyDescent="0.25">
      <c r="A27" s="36"/>
      <c r="B27" s="36"/>
      <c r="C27" s="36"/>
      <c r="D27" s="36"/>
      <c r="E27" s="36"/>
      <c r="F27" s="36"/>
      <c r="G27" s="36"/>
      <c r="H27" s="900"/>
      <c r="I27" s="900"/>
      <c r="J27" s="900"/>
      <c r="K27" s="900"/>
      <c r="L27" s="900"/>
      <c r="M27" s="900"/>
      <c r="N27" s="900"/>
      <c r="O27" s="900"/>
      <c r="P27" s="900"/>
      <c r="Q27" s="900"/>
      <c r="R27" s="900"/>
      <c r="S27" s="900"/>
      <c r="T27" s="900"/>
      <c r="U27" s="900"/>
      <c r="V27" s="900"/>
      <c r="W27" s="900"/>
      <c r="X27" s="911"/>
      <c r="Y27" s="911"/>
      <c r="Z27" s="911"/>
      <c r="AA27" s="911"/>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row>
    <row r="28" spans="1:68" x14ac:dyDescent="0.25">
      <c r="A28" s="36"/>
      <c r="B28" s="36"/>
      <c r="C28" s="36"/>
      <c r="D28" s="36"/>
      <c r="E28" s="36"/>
      <c r="F28" s="36"/>
      <c r="G28" s="36"/>
      <c r="H28" s="900"/>
      <c r="I28" s="900"/>
      <c r="J28" s="900"/>
      <c r="K28" s="900"/>
      <c r="L28" s="900"/>
      <c r="M28" s="900"/>
      <c r="N28" s="900"/>
      <c r="O28" s="900"/>
      <c r="P28" s="900"/>
      <c r="Q28" s="900"/>
      <c r="R28" s="900"/>
      <c r="S28" s="900"/>
      <c r="T28" s="900"/>
      <c r="U28" s="900"/>
      <c r="V28" s="900"/>
      <c r="W28" s="900"/>
      <c r="X28" s="911"/>
      <c r="Y28" s="911"/>
      <c r="Z28" s="911"/>
      <c r="AA28" s="911"/>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row>
    <row r="29" spans="1:68" x14ac:dyDescent="0.25">
      <c r="A29" s="36"/>
      <c r="B29" s="36"/>
      <c r="C29" s="36"/>
      <c r="D29" s="36"/>
      <c r="E29" s="36"/>
      <c r="F29" s="36"/>
      <c r="G29" s="36"/>
      <c r="H29" s="900"/>
      <c r="I29" s="900"/>
      <c r="J29" s="900"/>
      <c r="K29" s="900"/>
      <c r="L29" s="900"/>
      <c r="M29" s="900"/>
      <c r="N29" s="900"/>
      <c r="O29" s="900"/>
      <c r="P29" s="900"/>
      <c r="Q29" s="900"/>
      <c r="R29" s="900"/>
      <c r="S29" s="900"/>
      <c r="T29" s="900"/>
      <c r="U29" s="900"/>
      <c r="V29" s="900"/>
      <c r="W29" s="900"/>
      <c r="X29" s="911"/>
      <c r="Y29" s="911"/>
      <c r="Z29" s="911"/>
      <c r="AA29" s="911"/>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row>
    <row r="30" spans="1:68" x14ac:dyDescent="0.25">
      <c r="A30" s="36"/>
      <c r="B30" s="36"/>
      <c r="C30" s="36"/>
      <c r="D30" s="36"/>
      <c r="E30" s="36"/>
      <c r="F30" s="36"/>
      <c r="G30" s="36"/>
      <c r="H30" s="900"/>
      <c r="I30" s="900"/>
      <c r="J30" s="900"/>
      <c r="K30" s="900"/>
      <c r="L30" s="900"/>
      <c r="M30" s="900"/>
      <c r="N30" s="900"/>
      <c r="O30" s="900"/>
      <c r="P30" s="900"/>
      <c r="Q30" s="900"/>
      <c r="R30" s="900"/>
      <c r="S30" s="900"/>
      <c r="T30" s="900"/>
      <c r="U30" s="900"/>
      <c r="V30" s="900"/>
      <c r="W30" s="900"/>
      <c r="X30" s="911"/>
      <c r="Y30" s="911"/>
      <c r="Z30" s="911"/>
      <c r="AA30" s="911"/>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row>
    <row r="31" spans="1:68" x14ac:dyDescent="0.25">
      <c r="A31" s="36"/>
      <c r="B31" s="36"/>
      <c r="C31" s="36"/>
      <c r="D31" s="36"/>
      <c r="E31" s="36"/>
      <c r="F31" s="36"/>
      <c r="G31" s="36"/>
      <c r="H31" s="900"/>
      <c r="I31" s="900"/>
      <c r="J31" s="900"/>
      <c r="K31" s="900"/>
      <c r="L31" s="900"/>
      <c r="M31" s="900"/>
      <c r="N31" s="900"/>
      <c r="O31" s="900"/>
      <c r="P31" s="900"/>
      <c r="Q31" s="900"/>
      <c r="R31" s="900"/>
      <c r="S31" s="900"/>
      <c r="T31" s="900"/>
      <c r="U31" s="900"/>
      <c r="V31" s="900"/>
      <c r="W31" s="900"/>
      <c r="X31" s="911"/>
      <c r="Y31" s="911"/>
      <c r="Z31" s="911"/>
      <c r="AA31" s="911"/>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row>
    <row r="32" spans="1:68"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row>
    <row r="33" spans="1:68" ht="15" customHeight="1" x14ac:dyDescent="0.25">
      <c r="A33" s="36"/>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row>
    <row r="34" spans="1:68" ht="15" customHeight="1" x14ac:dyDescent="0.25">
      <c r="A34" s="36"/>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row>
    <row r="35" spans="1:68"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row>
    <row r="36" spans="1:68"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row>
    <row r="37" spans="1:68"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row>
    <row r="38" spans="1:68"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row>
    <row r="39" spans="1:68"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row>
    <row r="40" spans="1:68"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row>
    <row r="41" spans="1:68"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row>
    <row r="42" spans="1:68"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row>
    <row r="43" spans="1:68"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row>
    <row r="44" spans="1:68"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row>
    <row r="45" spans="1:68" x14ac:dyDescent="0.2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row>
    <row r="46" spans="1:68" x14ac:dyDescent="0.25">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row>
    <row r="47" spans="1:68" x14ac:dyDescent="0.2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row>
    <row r="48" spans="1:68" x14ac:dyDescent="0.2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row>
    <row r="49" spans="1:68" x14ac:dyDescent="0.2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row>
    <row r="50" spans="1:68" x14ac:dyDescent="0.25">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row>
    <row r="51" spans="1:68" x14ac:dyDescent="0.25">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row>
    <row r="52" spans="1:68" x14ac:dyDescent="0.2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row>
    <row r="53" spans="1:68" x14ac:dyDescent="0.25">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row>
    <row r="54" spans="1:68" x14ac:dyDescent="0.25">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row>
    <row r="55" spans="1:68" x14ac:dyDescent="0.2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row>
    <row r="56" spans="1:68" x14ac:dyDescent="0.2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row>
    <row r="57" spans="1:68" x14ac:dyDescent="0.2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row>
    <row r="58" spans="1:68" x14ac:dyDescent="0.25">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row>
    <row r="59" spans="1:68" x14ac:dyDescent="0.25">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row>
    <row r="60" spans="1:68" x14ac:dyDescent="0.25">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row>
    <row r="61" spans="1:68" x14ac:dyDescent="0.25">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row>
    <row r="62" spans="1:68" x14ac:dyDescent="0.25">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row>
    <row r="63" spans="1:68" x14ac:dyDescent="0.25">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row>
    <row r="64" spans="1:68" x14ac:dyDescent="0.25">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row>
    <row r="65" spans="1:51" x14ac:dyDescent="0.2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row>
    <row r="66" spans="1:51" x14ac:dyDescent="0.25">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row>
    <row r="67" spans="1:51" x14ac:dyDescent="0.25">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row>
    <row r="68" spans="1:51" x14ac:dyDescent="0.25">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row>
    <row r="69" spans="1:51" x14ac:dyDescent="0.25">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row>
    <row r="70" spans="1:51" x14ac:dyDescent="0.25">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row>
    <row r="71" spans="1:51" x14ac:dyDescent="0.25">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row>
    <row r="72" spans="1:51" x14ac:dyDescent="0.2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row>
    <row r="73" spans="1:51" x14ac:dyDescent="0.25">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row>
    <row r="74" spans="1:51" x14ac:dyDescent="0.25">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row>
    <row r="75" spans="1:51" x14ac:dyDescent="0.2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row>
    <row r="76" spans="1:51" x14ac:dyDescent="0.25">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row>
    <row r="77" spans="1:51" x14ac:dyDescent="0.25">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row>
    <row r="78" spans="1:51" x14ac:dyDescent="0.25">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row>
    <row r="79" spans="1:51" x14ac:dyDescent="0.25">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row>
    <row r="80" spans="1:51" x14ac:dyDescent="0.25">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row>
    <row r="81" spans="1:51" x14ac:dyDescent="0.25">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row>
    <row r="82" spans="1:51" x14ac:dyDescent="0.25">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row>
    <row r="83" spans="1:51" x14ac:dyDescent="0.25">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row>
    <row r="84" spans="1:51" x14ac:dyDescent="0.25">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row>
    <row r="85" spans="1:51" x14ac:dyDescent="0.2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row>
    <row r="86" spans="1:51" x14ac:dyDescent="0.25">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row>
    <row r="87" spans="1:51" x14ac:dyDescent="0.25">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row>
    <row r="88" spans="1:51" x14ac:dyDescent="0.25">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row>
    <row r="89" spans="1:51" x14ac:dyDescent="0.25">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row>
    <row r="90" spans="1:51" x14ac:dyDescent="0.25">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row>
    <row r="91" spans="1:51" x14ac:dyDescent="0.2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row>
    <row r="92" spans="1:51" x14ac:dyDescent="0.2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row>
    <row r="93" spans="1:51" x14ac:dyDescent="0.25">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row>
    <row r="94" spans="1:51" x14ac:dyDescent="0.25">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row>
    <row r="95" spans="1:51" x14ac:dyDescent="0.2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row>
    <row r="96" spans="1:51" x14ac:dyDescent="0.25">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row>
    <row r="97" spans="1:51" x14ac:dyDescent="0.25">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row>
    <row r="98" spans="1:51" x14ac:dyDescent="0.25">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row>
    <row r="99" spans="1:51" x14ac:dyDescent="0.25">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row>
    <row r="100" spans="1:51" x14ac:dyDescent="0.25">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row>
    <row r="101" spans="1:51" x14ac:dyDescent="0.25">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row>
    <row r="102" spans="1:51" x14ac:dyDescent="0.25">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row>
    <row r="103" spans="1:51" x14ac:dyDescent="0.25">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row>
    <row r="104" spans="1:51" x14ac:dyDescent="0.25">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row>
    <row r="105" spans="1:51" x14ac:dyDescent="0.25">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row>
    <row r="106" spans="1:51" x14ac:dyDescent="0.25">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row>
    <row r="107" spans="1:51" x14ac:dyDescent="0.25">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row>
    <row r="108" spans="1:51" x14ac:dyDescent="0.25">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row>
    <row r="109" spans="1:51" x14ac:dyDescent="0.25">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row>
    <row r="110" spans="1:51" x14ac:dyDescent="0.25">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row>
    <row r="111" spans="1:51" x14ac:dyDescent="0.25">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row>
    <row r="112" spans="1:51" x14ac:dyDescent="0.25">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row>
    <row r="113" spans="2:51" x14ac:dyDescent="0.25">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row>
    <row r="114" spans="2:51" x14ac:dyDescent="0.25">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row>
    <row r="115" spans="2:51" x14ac:dyDescent="0.25">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row>
    <row r="116" spans="2:51" x14ac:dyDescent="0.25">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row>
    <row r="117" spans="2:51" x14ac:dyDescent="0.25">
      <c r="B117" s="36"/>
      <c r="C117" s="36"/>
      <c r="D117" s="36"/>
      <c r="E117" s="36"/>
      <c r="F117" s="36"/>
      <c r="G117" s="36"/>
    </row>
    <row r="118" spans="2:51" x14ac:dyDescent="0.25">
      <c r="B118" s="36"/>
      <c r="C118" s="36"/>
      <c r="D118" s="36"/>
      <c r="E118" s="36"/>
      <c r="F118" s="36"/>
      <c r="G118" s="36"/>
    </row>
    <row r="119" spans="2:51" x14ac:dyDescent="0.25">
      <c r="B119" s="36"/>
      <c r="C119" s="36"/>
      <c r="D119" s="36"/>
      <c r="E119" s="36"/>
      <c r="F119" s="36"/>
      <c r="G119" s="36"/>
    </row>
    <row r="120" spans="2:51" x14ac:dyDescent="0.25">
      <c r="B120" s="36"/>
      <c r="C120" s="36"/>
      <c r="D120" s="36"/>
      <c r="E120" s="36"/>
      <c r="F120" s="36"/>
      <c r="G120" s="36"/>
    </row>
  </sheetData>
  <mergeCells count="117">
    <mergeCell ref="B2:G4"/>
    <mergeCell ref="L22:M23"/>
    <mergeCell ref="N22:O23"/>
    <mergeCell ref="L24:M25"/>
    <mergeCell ref="N24:O25"/>
    <mergeCell ref="H22:I23"/>
    <mergeCell ref="J22:K23"/>
    <mergeCell ref="H24:I25"/>
    <mergeCell ref="J24:K25"/>
    <mergeCell ref="H18:I19"/>
    <mergeCell ref="J18:K19"/>
    <mergeCell ref="H20:I21"/>
    <mergeCell ref="J20:K21"/>
    <mergeCell ref="L10:M11"/>
    <mergeCell ref="N10:O11"/>
    <mergeCell ref="L12:M13"/>
    <mergeCell ref="N12:O13"/>
    <mergeCell ref="H10:I11"/>
    <mergeCell ref="J10:K11"/>
    <mergeCell ref="H12:I13"/>
    <mergeCell ref="J12:K13"/>
    <mergeCell ref="E6:G9"/>
    <mergeCell ref="E10:G13"/>
    <mergeCell ref="B6:D25"/>
    <mergeCell ref="P22:Q23"/>
    <mergeCell ref="R22:S23"/>
    <mergeCell ref="P24:Q25"/>
    <mergeCell ref="R24:S25"/>
    <mergeCell ref="L18:M19"/>
    <mergeCell ref="N18:O19"/>
    <mergeCell ref="L20:M21"/>
    <mergeCell ref="N20:O21"/>
    <mergeCell ref="P18:Q19"/>
    <mergeCell ref="R18:S19"/>
    <mergeCell ref="P20:Q21"/>
    <mergeCell ref="R20:S21"/>
    <mergeCell ref="P14:Q15"/>
    <mergeCell ref="R14:S15"/>
    <mergeCell ref="P16:Q17"/>
    <mergeCell ref="R16:S17"/>
    <mergeCell ref="L14:M15"/>
    <mergeCell ref="N14:O15"/>
    <mergeCell ref="L16:M17"/>
    <mergeCell ref="N16:O17"/>
    <mergeCell ref="H14:I15"/>
    <mergeCell ref="J14:K15"/>
    <mergeCell ref="H16:I17"/>
    <mergeCell ref="J16:K17"/>
    <mergeCell ref="X22:Y23"/>
    <mergeCell ref="Z22:AA23"/>
    <mergeCell ref="X24:Y25"/>
    <mergeCell ref="Z24:AA25"/>
    <mergeCell ref="X18:Y19"/>
    <mergeCell ref="Z18:AA19"/>
    <mergeCell ref="X20:Y21"/>
    <mergeCell ref="Z20:AA21"/>
    <mergeCell ref="X14:Y15"/>
    <mergeCell ref="Z14:AA15"/>
    <mergeCell ref="X16:Y17"/>
    <mergeCell ref="Z16:AA17"/>
    <mergeCell ref="T24:U25"/>
    <mergeCell ref="V24:W25"/>
    <mergeCell ref="T18:U19"/>
    <mergeCell ref="V18:W19"/>
    <mergeCell ref="T20:U21"/>
    <mergeCell ref="V20:W21"/>
    <mergeCell ref="T14:U15"/>
    <mergeCell ref="V14:W15"/>
    <mergeCell ref="T16:U17"/>
    <mergeCell ref="V16:W17"/>
    <mergeCell ref="T22:U23"/>
    <mergeCell ref="V22:W23"/>
    <mergeCell ref="R10:S11"/>
    <mergeCell ref="P12:Q13"/>
    <mergeCell ref="R12:S13"/>
    <mergeCell ref="T8:U9"/>
    <mergeCell ref="V8:W9"/>
    <mergeCell ref="T6:U7"/>
    <mergeCell ref="V6:W7"/>
    <mergeCell ref="H2:AA4"/>
    <mergeCell ref="H6:I7"/>
    <mergeCell ref="X10:Y11"/>
    <mergeCell ref="Z10:AA11"/>
    <mergeCell ref="X12:Y13"/>
    <mergeCell ref="Z12:AA13"/>
    <mergeCell ref="X6:Y7"/>
    <mergeCell ref="Z6:AA7"/>
    <mergeCell ref="X8:Y9"/>
    <mergeCell ref="Z8:AA9"/>
    <mergeCell ref="T10:U11"/>
    <mergeCell ref="V10:W11"/>
    <mergeCell ref="T12:U13"/>
    <mergeCell ref="V12:W13"/>
    <mergeCell ref="AC6:AH9"/>
    <mergeCell ref="AC10:AH13"/>
    <mergeCell ref="AC14:AH17"/>
    <mergeCell ref="AC18:AH21"/>
    <mergeCell ref="E14:G17"/>
    <mergeCell ref="E22:G25"/>
    <mergeCell ref="H26:K31"/>
    <mergeCell ref="L26:O31"/>
    <mergeCell ref="P26:S31"/>
    <mergeCell ref="P6:Q7"/>
    <mergeCell ref="R6:S7"/>
    <mergeCell ref="P8:Q9"/>
    <mergeCell ref="R8:S9"/>
    <mergeCell ref="N6:O7"/>
    <mergeCell ref="T26:W31"/>
    <mergeCell ref="X26:AA31"/>
    <mergeCell ref="L6:M7"/>
    <mergeCell ref="J6:K7"/>
    <mergeCell ref="J8:K9"/>
    <mergeCell ref="H8:I9"/>
    <mergeCell ref="E18:G21"/>
    <mergeCell ref="L8:M9"/>
    <mergeCell ref="N8:O9"/>
    <mergeCell ref="P10:Q11"/>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92D050"/>
  </sheetPr>
  <dimension ref="A1:BV217"/>
  <sheetViews>
    <sheetView zoomScale="55" zoomScaleNormal="55" workbookViewId="0">
      <selection activeCell="AD64" sqref="AD64"/>
    </sheetView>
  </sheetViews>
  <sheetFormatPr baseColWidth="10" defaultRowHeight="15" x14ac:dyDescent="0.25"/>
  <cols>
    <col min="2" max="3" width="5.7109375" customWidth="1"/>
    <col min="4" max="4" width="23.7109375" customWidth="1"/>
    <col min="5" max="15" width="5.7109375" customWidth="1"/>
    <col min="16" max="16" width="6.7109375" customWidth="1"/>
    <col min="17" max="17" width="5.7109375" customWidth="1"/>
    <col min="18" max="18" width="5.5703125" customWidth="1"/>
    <col min="19" max="19" width="5.7109375" customWidth="1"/>
    <col min="20" max="20" width="6.140625" customWidth="1"/>
    <col min="21" max="22" width="5.7109375" customWidth="1"/>
    <col min="24" max="29" width="5.7109375" customWidth="1"/>
  </cols>
  <sheetData>
    <row r="1" spans="1:74" x14ac:dyDescent="0.25">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row>
    <row r="2" spans="1:74" ht="18" customHeight="1" x14ac:dyDescent="0.25">
      <c r="A2" s="36"/>
      <c r="B2" s="956" t="s">
        <v>137</v>
      </c>
      <c r="C2" s="957"/>
      <c r="D2" s="957"/>
      <c r="E2" s="957"/>
      <c r="F2" s="957"/>
      <c r="G2" s="957"/>
      <c r="H2" s="912" t="s">
        <v>1</v>
      </c>
      <c r="I2" s="912"/>
      <c r="J2" s="912"/>
      <c r="K2" s="912"/>
      <c r="L2" s="912"/>
      <c r="M2" s="912"/>
      <c r="N2" s="912"/>
      <c r="O2" s="912"/>
      <c r="P2" s="912"/>
      <c r="Q2" s="912"/>
      <c r="R2" s="912"/>
      <c r="S2" s="912"/>
      <c r="T2" s="912"/>
      <c r="U2" s="912"/>
      <c r="V2" s="912"/>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row>
    <row r="3" spans="1:74" ht="18.75" customHeight="1" x14ac:dyDescent="0.25">
      <c r="A3" s="36"/>
      <c r="B3" s="957"/>
      <c r="C3" s="957"/>
      <c r="D3" s="957"/>
      <c r="E3" s="957"/>
      <c r="F3" s="957"/>
      <c r="G3" s="957"/>
      <c r="H3" s="912"/>
      <c r="I3" s="912"/>
      <c r="J3" s="912"/>
      <c r="K3" s="912"/>
      <c r="L3" s="912"/>
      <c r="M3" s="912"/>
      <c r="N3" s="912"/>
      <c r="O3" s="912"/>
      <c r="P3" s="912"/>
      <c r="Q3" s="912"/>
      <c r="R3" s="912"/>
      <c r="S3" s="912"/>
      <c r="T3" s="912"/>
      <c r="U3" s="912"/>
      <c r="V3" s="912"/>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row>
    <row r="4" spans="1:74" ht="15" customHeight="1" x14ac:dyDescent="0.25">
      <c r="A4" s="36"/>
      <c r="B4" s="957"/>
      <c r="C4" s="957"/>
      <c r="D4" s="957"/>
      <c r="E4" s="957"/>
      <c r="F4" s="957"/>
      <c r="G4" s="957"/>
      <c r="H4" s="912"/>
      <c r="I4" s="912"/>
      <c r="J4" s="912"/>
      <c r="K4" s="912"/>
      <c r="L4" s="912"/>
      <c r="M4" s="912"/>
      <c r="N4" s="912"/>
      <c r="O4" s="912"/>
      <c r="P4" s="912"/>
      <c r="Q4" s="912"/>
      <c r="R4" s="912"/>
      <c r="S4" s="912"/>
      <c r="T4" s="912"/>
      <c r="U4" s="912"/>
      <c r="V4" s="912"/>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row>
    <row r="5" spans="1:74" ht="15.75" thickBot="1" x14ac:dyDescent="0.3">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row>
    <row r="6" spans="1:74" ht="15" customHeight="1" x14ac:dyDescent="0.25">
      <c r="A6" s="36"/>
      <c r="B6" s="941" t="s">
        <v>2</v>
      </c>
      <c r="C6" s="941"/>
      <c r="D6" s="941"/>
      <c r="E6" s="948" t="s">
        <v>102</v>
      </c>
      <c r="F6" s="949"/>
      <c r="G6" s="949"/>
      <c r="H6" s="69" t="str">
        <f>IF(AND('2.Mapa final'!$AE$19="Muy Alta",'2.Mapa final'!$AG$19="Leve"),CONCATENATE("R1C",'2.Mapa final'!$S$19),"")</f>
        <v/>
      </c>
      <c r="I6" s="70" t="e">
        <f>IF(AND('2.Mapa final'!#REF!="Muy Alta",'2.Mapa final'!#REF!="Leve"),CONCATENATE("R1C",'2.Mapa final'!#REF!),"")</f>
        <v>#REF!</v>
      </c>
      <c r="J6" s="71" t="str">
        <f>IF(AND('2.Mapa final'!$AE$51="Muy Alta",'2.Mapa final'!$AG$51="Leve"),CONCATENATE("R1C",'2.Mapa final'!$S$51),"")</f>
        <v/>
      </c>
      <c r="K6" s="69" t="str">
        <f>IF(AND('2.Mapa final'!$AE$19="Muy Alta",'2.Mapa final'!$AG$19="Menor"),CONCATENATE("R1C",'2.Mapa final'!$S$19),"")</f>
        <v/>
      </c>
      <c r="L6" s="70" t="e">
        <f>IF(AND('2.Mapa final'!#REF!="Muy Alta",'2.Mapa final'!#REF!="Menor"),CONCATENATE("R1C",'2.Mapa final'!#REF!),"")</f>
        <v>#REF!</v>
      </c>
      <c r="M6" s="71" t="str">
        <f>IF(AND('2.Mapa final'!$AE$51="Muy Alta",'2.Mapa final'!$AG$51="Menor"),CONCATENATE("R1C",'2.Mapa final'!$S$51),"")</f>
        <v/>
      </c>
      <c r="N6" s="69" t="str">
        <f>IF(AND('2.Mapa final'!$AE$19="Muy Alta",'2.Mapa final'!$AG$19="Moderado"),CONCATENATE("R1C",'2.Mapa final'!$S$19),"")</f>
        <v/>
      </c>
      <c r="O6" s="70" t="e">
        <f>IF(AND('2.Mapa final'!#REF!="Muy Alta",'2.Mapa final'!#REF!="Moderado"),CONCATENATE("R1C",'2.Mapa final'!#REF!),"")</f>
        <v>#REF!</v>
      </c>
      <c r="P6" s="71" t="str">
        <f>IF(AND('2.Mapa final'!$AE$51="Muy Alta",'2.Mapa final'!$AG$51="Moderado"),CONCATENATE("R1C",'2.Mapa final'!$S$51),"")</f>
        <v/>
      </c>
      <c r="Q6" s="69" t="str">
        <f>IF(AND('2.Mapa final'!$AE$19="Muy Alta",'2.Mapa final'!$AG$19="Mayor"),CONCATENATE("R1C",'2.Mapa final'!$S$19),"")</f>
        <v/>
      </c>
      <c r="R6" s="70" t="e">
        <f>IF(AND('2.Mapa final'!#REF!="Muy Alta",'2.Mapa final'!#REF!="Mayor"),CONCATENATE("R1C",'2.Mapa final'!#REF!),"")</f>
        <v>#REF!</v>
      </c>
      <c r="S6" s="71" t="str">
        <f>IF(AND('2.Mapa final'!$AE$51="Muy Alta",'2.Mapa final'!$AG$51="Mayor"),CONCATENATE("R1C",'2.Mapa final'!$S$51),"")</f>
        <v/>
      </c>
      <c r="T6" s="77" t="str">
        <f>IF(AND('2.Mapa final'!$AE$19="Muy Alta",'2.Mapa final'!$AG$19="Catastrófico"),CONCATENATE("R1C",'2.Mapa final'!$S$19),"")</f>
        <v/>
      </c>
      <c r="U6" s="78" t="e">
        <f>IF(AND('2.Mapa final'!#REF!="Muy Alta",'2.Mapa final'!#REF!="Catastrófico"),CONCATENATE("R1C",'2.Mapa final'!#REF!),"")</f>
        <v>#REF!</v>
      </c>
      <c r="V6" s="79" t="str">
        <f>IF(AND('2.Mapa final'!$AE$51="Muy Alta",'2.Mapa final'!$AG$51="Catastrófico"),CONCATENATE("R1C",'2.Mapa final'!$S$51),"")</f>
        <v/>
      </c>
      <c r="W6" s="36"/>
      <c r="X6" s="950" t="s">
        <v>66</v>
      </c>
      <c r="Y6" s="951"/>
      <c r="Z6" s="951"/>
      <c r="AA6" s="951"/>
      <c r="AB6" s="951"/>
      <c r="AC6" s="952"/>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row>
    <row r="7" spans="1:74" ht="15" customHeight="1" x14ac:dyDescent="0.25">
      <c r="A7" s="36"/>
      <c r="B7" s="941"/>
      <c r="C7" s="941"/>
      <c r="D7" s="941"/>
      <c r="E7" s="949"/>
      <c r="F7" s="949"/>
      <c r="G7" s="949"/>
      <c r="H7" s="72" t="e">
        <f>IF(AND('2.Mapa final'!#REF!="Muy Alta",'2.Mapa final'!#REF!="Leve"),CONCATENATE("R2C",'2.Mapa final'!#REF!),"")</f>
        <v>#REF!</v>
      </c>
      <c r="I7" s="32" t="e">
        <f>IF(AND('2.Mapa final'!#REF!="Muy Alta",'2.Mapa final'!#REF!="Leve"),CONCATENATE("R2C",'2.Mapa final'!#REF!),"")</f>
        <v>#REF!</v>
      </c>
      <c r="J7" s="73" t="e">
        <f>IF(AND('2.Mapa final'!#REF!="Muy Alta",'2.Mapa final'!#REF!="Leve"),CONCATENATE("R2C",'2.Mapa final'!#REF!),"")</f>
        <v>#REF!</v>
      </c>
      <c r="K7" s="72" t="e">
        <f>IF(AND('2.Mapa final'!#REF!="Muy Alta",'2.Mapa final'!#REF!="Menor"),CONCATENATE("R2C",'2.Mapa final'!#REF!),"")</f>
        <v>#REF!</v>
      </c>
      <c r="L7" s="32" t="e">
        <f>IF(AND('2.Mapa final'!#REF!="Muy Alta",'2.Mapa final'!#REF!="Menor"),CONCATENATE("R2C",'2.Mapa final'!#REF!),"")</f>
        <v>#REF!</v>
      </c>
      <c r="M7" s="73" t="e">
        <f>IF(AND('2.Mapa final'!#REF!="Muy Alta",'2.Mapa final'!#REF!="Menor"),CONCATENATE("R2C",'2.Mapa final'!#REF!),"")</f>
        <v>#REF!</v>
      </c>
      <c r="N7" s="72" t="e">
        <f>IF(AND('2.Mapa final'!#REF!="Muy Alta",'2.Mapa final'!#REF!="Moderado"),CONCATENATE("R2C",'2.Mapa final'!#REF!),"")</f>
        <v>#REF!</v>
      </c>
      <c r="O7" s="32" t="e">
        <f>IF(AND('2.Mapa final'!#REF!="Muy Alta",'2.Mapa final'!#REF!="Moderado"),CONCATENATE("R2C",'2.Mapa final'!#REF!),"")</f>
        <v>#REF!</v>
      </c>
      <c r="P7" s="73" t="e">
        <f>IF(AND('2.Mapa final'!#REF!="Muy Alta",'2.Mapa final'!#REF!="Moderado"),CONCATENATE("R2C",'2.Mapa final'!#REF!),"")</f>
        <v>#REF!</v>
      </c>
      <c r="Q7" s="72" t="e">
        <f>IF(AND('2.Mapa final'!#REF!="Muy Alta",'2.Mapa final'!#REF!="Mayor"),CONCATENATE("R2C",'2.Mapa final'!#REF!),"")</f>
        <v>#REF!</v>
      </c>
      <c r="R7" s="32" t="e">
        <f>IF(AND('2.Mapa final'!#REF!="Muy Alta",'2.Mapa final'!#REF!="Mayor"),CONCATENATE("R2C",'2.Mapa final'!#REF!),"")</f>
        <v>#REF!</v>
      </c>
      <c r="S7" s="73" t="e">
        <f>IF(AND('2.Mapa final'!#REF!="Muy Alta",'2.Mapa final'!#REF!="Mayor"),CONCATENATE("R2C",'2.Mapa final'!#REF!),"")</f>
        <v>#REF!</v>
      </c>
      <c r="T7" s="80" t="e">
        <f>IF(AND('2.Mapa final'!#REF!="Muy Alta",'2.Mapa final'!#REF!="Catastrófico"),CONCATENATE("R2C",'2.Mapa final'!#REF!),"")</f>
        <v>#REF!</v>
      </c>
      <c r="U7" s="33" t="e">
        <f>IF(AND('2.Mapa final'!#REF!="Muy Alta",'2.Mapa final'!#REF!="Catastrófico"),CONCATENATE("R2C",'2.Mapa final'!#REF!),"")</f>
        <v>#REF!</v>
      </c>
      <c r="V7" s="81" t="e">
        <f>IF(AND('2.Mapa final'!#REF!="Muy Alta",'2.Mapa final'!#REF!="Catastrófico"),CONCATENATE("R2C",'2.Mapa final'!#REF!),"")</f>
        <v>#REF!</v>
      </c>
      <c r="W7" s="36"/>
      <c r="X7" s="953"/>
      <c r="Y7" s="954"/>
      <c r="Z7" s="954"/>
      <c r="AA7" s="954"/>
      <c r="AB7" s="954"/>
      <c r="AC7" s="955"/>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row>
    <row r="8" spans="1:74" ht="15" customHeight="1" x14ac:dyDescent="0.25">
      <c r="A8" s="36"/>
      <c r="B8" s="941"/>
      <c r="C8" s="941"/>
      <c r="D8" s="941"/>
      <c r="E8" s="949"/>
      <c r="F8" s="949"/>
      <c r="G8" s="949"/>
      <c r="H8" s="72" t="e">
        <f>IF(AND('2.Mapa final'!#REF!="Muy Alta",'2.Mapa final'!#REF!="Leve"),CONCATENATE("R3C",'2.Mapa final'!#REF!),"")</f>
        <v>#REF!</v>
      </c>
      <c r="I8" s="32" t="e">
        <f>IF(AND('2.Mapa final'!#REF!="Muy Alta",'2.Mapa final'!#REF!="Leve"),CONCATENATE("R3C",'2.Mapa final'!#REF!),"")</f>
        <v>#REF!</v>
      </c>
      <c r="J8" s="73" t="e">
        <f>IF(AND('2.Mapa final'!#REF!="Muy Alta",'2.Mapa final'!#REF!="Leve"),CONCATENATE("R3C",'2.Mapa final'!#REF!),"")</f>
        <v>#REF!</v>
      </c>
      <c r="K8" s="72" t="e">
        <f>IF(AND('2.Mapa final'!#REF!="Muy Alta",'2.Mapa final'!#REF!="Menor"),CONCATENATE("R3C",'2.Mapa final'!#REF!),"")</f>
        <v>#REF!</v>
      </c>
      <c r="L8" s="32" t="e">
        <f>IF(AND('2.Mapa final'!#REF!="Muy Alta",'2.Mapa final'!#REF!="Menor"),CONCATENATE("R3C",'2.Mapa final'!#REF!),"")</f>
        <v>#REF!</v>
      </c>
      <c r="M8" s="73" t="e">
        <f>IF(AND('2.Mapa final'!#REF!="Muy Alta",'2.Mapa final'!#REF!="Menor"),CONCATENATE("R3C",'2.Mapa final'!#REF!),"")</f>
        <v>#REF!</v>
      </c>
      <c r="N8" s="72" t="e">
        <f>IF(AND('2.Mapa final'!#REF!="Muy Alta",'2.Mapa final'!#REF!="Moderado"),CONCATENATE("R3C",'2.Mapa final'!#REF!),"")</f>
        <v>#REF!</v>
      </c>
      <c r="O8" s="32" t="e">
        <f>IF(AND('2.Mapa final'!#REF!="Muy Alta",'2.Mapa final'!#REF!="Moderado"),CONCATENATE("R3C",'2.Mapa final'!#REF!),"")</f>
        <v>#REF!</v>
      </c>
      <c r="P8" s="73" t="e">
        <f>IF(AND('2.Mapa final'!#REF!="Muy Alta",'2.Mapa final'!#REF!="Moderado"),CONCATENATE("R3C",'2.Mapa final'!#REF!),"")</f>
        <v>#REF!</v>
      </c>
      <c r="Q8" s="72" t="e">
        <f>IF(AND('2.Mapa final'!#REF!="Muy Alta",'2.Mapa final'!#REF!="Mayor"),CONCATENATE("R3C",'2.Mapa final'!#REF!),"")</f>
        <v>#REF!</v>
      </c>
      <c r="R8" s="32" t="e">
        <f>IF(AND('2.Mapa final'!#REF!="Muy Alta",'2.Mapa final'!#REF!="Mayor"),CONCATENATE("R3C",'2.Mapa final'!#REF!),"")</f>
        <v>#REF!</v>
      </c>
      <c r="S8" s="73" t="e">
        <f>IF(AND('2.Mapa final'!#REF!="Muy Alta",'2.Mapa final'!#REF!="Mayor"),CONCATENATE("R3C",'2.Mapa final'!#REF!),"")</f>
        <v>#REF!</v>
      </c>
      <c r="T8" s="80" t="e">
        <f>IF(AND('2.Mapa final'!#REF!="Muy Alta",'2.Mapa final'!#REF!="Catastrófico"),CONCATENATE("R3C",'2.Mapa final'!#REF!),"")</f>
        <v>#REF!</v>
      </c>
      <c r="U8" s="33" t="e">
        <f>IF(AND('2.Mapa final'!#REF!="Muy Alta",'2.Mapa final'!#REF!="Catastrófico"),CONCATENATE("R3C",'2.Mapa final'!#REF!),"")</f>
        <v>#REF!</v>
      </c>
      <c r="V8" s="81" t="e">
        <f>IF(AND('2.Mapa final'!#REF!="Muy Alta",'2.Mapa final'!#REF!="Catastrófico"),CONCATENATE("R3C",'2.Mapa final'!#REF!),"")</f>
        <v>#REF!</v>
      </c>
      <c r="W8" s="36"/>
      <c r="X8" s="953"/>
      <c r="Y8" s="954"/>
      <c r="Z8" s="954"/>
      <c r="AA8" s="954"/>
      <c r="AB8" s="954"/>
      <c r="AC8" s="955"/>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row>
    <row r="9" spans="1:74" ht="15" customHeight="1" thickBot="1" x14ac:dyDescent="0.3">
      <c r="A9" s="36"/>
      <c r="B9" s="941"/>
      <c r="C9" s="941"/>
      <c r="D9" s="941"/>
      <c r="E9" s="949"/>
      <c r="F9" s="949"/>
      <c r="G9" s="949"/>
      <c r="H9" s="74" t="e">
        <f>IF(AND('2.Mapa final'!#REF!="Muy Baja",'2.Mapa final'!#REF!="Catastrófico"),CONCATENATE("R4",'2.Mapa final'!#REF!),"")</f>
        <v>#REF!</v>
      </c>
      <c r="I9" s="75" t="e">
        <f>IF(AND('2.Mapa final'!#REF!="Muy Baja",'2.Mapa final'!#REF!="Catastrófico"),CONCATENATE("R4",'2.Mapa final'!#REF!),"")</f>
        <v>#REF!</v>
      </c>
      <c r="J9" s="76" t="e">
        <f>IF(AND('2.Mapa final'!#REF!="Muy Baja",'2.Mapa final'!#REF!="Catastrófico"),CONCATENATE("R4",'2.Mapa final'!#REF!),"")</f>
        <v>#REF!</v>
      </c>
      <c r="K9" s="74" t="e">
        <f>IF(AND('2.Mapa final'!#REF!="Muy Alta",'2.Mapa final'!#REF!="Menor"),CONCATENATE("R4C",'2.Mapa final'!#REF!),"")</f>
        <v>#REF!</v>
      </c>
      <c r="L9" s="75" t="e">
        <f>IF(AND('2.Mapa final'!#REF!="Muy Alta",'2.Mapa final'!#REF!="Menor"),CONCATENATE("R4C",'2.Mapa final'!#REF!),"")</f>
        <v>#REF!</v>
      </c>
      <c r="M9" s="76" t="e">
        <f>IF(AND('2.Mapa final'!#REF!="Muy Alta",'2.Mapa final'!#REF!="Menor"),CONCATENATE("R4C",'2.Mapa final'!#REF!),"")</f>
        <v>#REF!</v>
      </c>
      <c r="N9" s="74" t="e">
        <f>IF(AND('2.Mapa final'!#REF!="Muy Alta",'2.Mapa final'!#REF!="Moderado"),CONCATENATE("R4C",'2.Mapa final'!#REF!),"")</f>
        <v>#REF!</v>
      </c>
      <c r="O9" s="75" t="e">
        <f>IF(AND('2.Mapa final'!#REF!="Muy Alta",'2.Mapa final'!#REF!="Moderado"),CONCATENATE("R4C",'2.Mapa final'!#REF!),"")</f>
        <v>#REF!</v>
      </c>
      <c r="P9" s="76" t="e">
        <f>IF(AND('2.Mapa final'!#REF!="Muy Alta",'2.Mapa final'!#REF!="Moderado"),CONCATENATE("R4C",'2.Mapa final'!#REF!),"")</f>
        <v>#REF!</v>
      </c>
      <c r="Q9" s="74" t="e">
        <f>IF(AND('2.Mapa final'!#REF!="Muy Alta",'2.Mapa final'!#REF!="Mayor"),CONCATENATE("R4C",'2.Mapa final'!#REF!),"")</f>
        <v>#REF!</v>
      </c>
      <c r="R9" s="75" t="e">
        <f>IF(AND('2.Mapa final'!#REF!="Muy Alta",'2.Mapa final'!#REF!="Mayor"),CONCATENATE("R4C",'2.Mapa final'!#REF!),"")</f>
        <v>#REF!</v>
      </c>
      <c r="S9" s="76" t="e">
        <f>IF(AND('2.Mapa final'!#REF!="Muy Alta",'2.Mapa final'!#REF!="Mayor"),CONCATENATE("R4C",'2.Mapa final'!#REF!),"")</f>
        <v>#REF!</v>
      </c>
      <c r="T9" s="82" t="e">
        <f>IF(AND('2.Mapa final'!#REF!="Muy Alta",'2.Mapa final'!#REF!="Catastrófico"),CONCATENATE("R4C",'2.Mapa final'!#REF!),"")</f>
        <v>#REF!</v>
      </c>
      <c r="U9" s="83" t="e">
        <f>IF(AND('2.Mapa final'!#REF!="Muy Alta",'2.Mapa final'!#REF!="Catastrófico"),CONCATENATE("R4C",'2.Mapa final'!#REF!),"")</f>
        <v>#REF!</v>
      </c>
      <c r="V9" s="84" t="e">
        <f>IF(AND('2.Mapa final'!#REF!="Muy Alta",'2.Mapa final'!#REF!="Catastrófico"),CONCATENATE("R4C",'2.Mapa final'!#REF!),"")</f>
        <v>#REF!</v>
      </c>
      <c r="W9" s="36"/>
      <c r="X9" s="953"/>
      <c r="Y9" s="954"/>
      <c r="Z9" s="954"/>
      <c r="AA9" s="954"/>
      <c r="AB9" s="954"/>
      <c r="AC9" s="955"/>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row>
    <row r="10" spans="1:74" ht="15" customHeight="1" x14ac:dyDescent="0.25">
      <c r="A10" s="36"/>
      <c r="B10" s="941"/>
      <c r="C10" s="941"/>
      <c r="D10" s="941"/>
      <c r="E10" s="948" t="s">
        <v>101</v>
      </c>
      <c r="F10" s="949"/>
      <c r="G10" s="949"/>
      <c r="H10" s="85" t="str">
        <f>IF(AND('2.Mapa final'!$AE$19="Alta",'2.Mapa final'!$AG$19="Leve"),CONCATENATE("R1C",'2.Mapa final'!$S$19),"")</f>
        <v/>
      </c>
      <c r="I10" s="86" t="e">
        <f>IF(AND('2.Mapa final'!#REF!="Alta",'2.Mapa final'!#REF!="Leve"),CONCATENATE("R1C",'2.Mapa final'!#REF!),"")</f>
        <v>#REF!</v>
      </c>
      <c r="J10" s="87" t="str">
        <f>IF(AND('2.Mapa final'!$AE$51="Alta",'2.Mapa final'!$AG$51="Leve"),CONCATENATE("R1C",'2.Mapa final'!$S$51),"")</f>
        <v/>
      </c>
      <c r="K10" s="85" t="str">
        <f>IF(AND('2.Mapa final'!$AE$19="Alta",'2.Mapa final'!$AG$19="Menor"),CONCATENATE("R1C",'2.Mapa final'!$S$19),"")</f>
        <v/>
      </c>
      <c r="L10" s="86" t="e">
        <f>IF(AND('2.Mapa final'!#REF!="Alta",'2.Mapa final'!#REF!="Menor"),CONCATENATE("R1C",'2.Mapa final'!#REF!),"")</f>
        <v>#REF!</v>
      </c>
      <c r="M10" s="87" t="str">
        <f>IF(AND('2.Mapa final'!$AE$51="Alta",'2.Mapa final'!$AG$51="Menor"),CONCATENATE("R1C",'2.Mapa final'!$S$51),"")</f>
        <v/>
      </c>
      <c r="N10" s="32" t="str">
        <f>IF(AND('2.Mapa final'!$AE$19="Alta",'2.Mapa final'!$AG$19="Moderado"),CONCATENATE("R1C",'2.Mapa final'!$S$19),"")</f>
        <v/>
      </c>
      <c r="O10" s="32" t="e">
        <f>IF(AND('2.Mapa final'!#REF!="Alta",'2.Mapa final'!#REF!="Moderado"),CONCATENATE("R1C",'2.Mapa final'!#REF!),"")</f>
        <v>#REF!</v>
      </c>
      <c r="P10" s="32" t="str">
        <f>IF(AND('2.Mapa final'!$AE$51="Alta",'2.Mapa final'!$AG$51="Moderado"),CONCATENATE("R1C",'2.Mapa final'!$S$51),"")</f>
        <v/>
      </c>
      <c r="Q10" s="69" t="str">
        <f>IF(AND('2.Mapa final'!$AE$19="Alta",'2.Mapa final'!$AG$19="Mayor"),CONCATENATE("R1C",'2.Mapa final'!$S$19),"")</f>
        <v/>
      </c>
      <c r="R10" s="70" t="e">
        <f>IF(AND('2.Mapa final'!#REF!="Alta",'2.Mapa final'!#REF!="Mayor"),CONCATENATE("R1C",'2.Mapa final'!#REF!),"")</f>
        <v>#REF!</v>
      </c>
      <c r="S10" s="71" t="str">
        <f>IF(AND('2.Mapa final'!$AE$51="Alta",'2.Mapa final'!$AG$51="Mayor"),CONCATENATE("R1C",'2.Mapa final'!$S$51),"")</f>
        <v/>
      </c>
      <c r="T10" s="77" t="str">
        <f>IF(AND('2.Mapa final'!$AE$19="Alta",'2.Mapa final'!$AG$19="Catastrófico"),CONCATENATE("R1C",'2.Mapa final'!$S$19),"")</f>
        <v/>
      </c>
      <c r="U10" s="78" t="e">
        <f>IF(AND('2.Mapa final'!#REF!="Alta",'2.Mapa final'!#REF!="Catastrófico"),CONCATENATE("R1C",'2.Mapa final'!#REF!),"")</f>
        <v>#REF!</v>
      </c>
      <c r="V10" s="79" t="str">
        <f>IF(AND('2.Mapa final'!$AE$51="Alta",'2.Mapa final'!$AG$51="Catastrófico"),CONCATENATE("R1C",'2.Mapa final'!$S$51),"")</f>
        <v/>
      </c>
      <c r="W10" s="36"/>
      <c r="X10" s="942" t="s">
        <v>67</v>
      </c>
      <c r="Y10" s="943"/>
      <c r="Z10" s="943"/>
      <c r="AA10" s="943"/>
      <c r="AB10" s="943"/>
      <c r="AC10" s="944"/>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row>
    <row r="11" spans="1:74" ht="15" customHeight="1" x14ac:dyDescent="0.25">
      <c r="A11" s="36"/>
      <c r="B11" s="941"/>
      <c r="C11" s="941"/>
      <c r="D11" s="941"/>
      <c r="E11" s="948"/>
      <c r="F11" s="949"/>
      <c r="G11" s="949"/>
      <c r="H11" s="88" t="e">
        <f>IF(AND('2.Mapa final'!#REF!="Alta",'2.Mapa final'!#REF!="Leve"),CONCATENATE("R2C",'2.Mapa final'!#REF!),"")</f>
        <v>#REF!</v>
      </c>
      <c r="I11" s="34" t="e">
        <f>IF(AND('2.Mapa final'!#REF!="Alta",'2.Mapa final'!#REF!="Leve"),CONCATENATE("R2C",'2.Mapa final'!#REF!),"")</f>
        <v>#REF!</v>
      </c>
      <c r="J11" s="89" t="e">
        <f>IF(AND('2.Mapa final'!#REF!="Alta",'2.Mapa final'!#REF!="Leve"),CONCATENATE("R2C",'2.Mapa final'!#REF!),"")</f>
        <v>#REF!</v>
      </c>
      <c r="K11" s="88" t="e">
        <f>IF(AND('2.Mapa final'!#REF!="Alta",'2.Mapa final'!#REF!="Menor"),CONCATENATE("R2C",'2.Mapa final'!#REF!),"")</f>
        <v>#REF!</v>
      </c>
      <c r="L11" s="34" t="e">
        <f>IF(AND('2.Mapa final'!#REF!="Alta",'2.Mapa final'!#REF!="Menor"),CONCATENATE("R2C",'2.Mapa final'!#REF!),"")</f>
        <v>#REF!</v>
      </c>
      <c r="M11" s="89" t="e">
        <f>IF(AND('2.Mapa final'!#REF!="Alta",'2.Mapa final'!#REF!="Menor"),CONCATENATE("R2C",'2.Mapa final'!#REF!),"")</f>
        <v>#REF!</v>
      </c>
      <c r="N11" s="32" t="e">
        <f>IF(AND('2.Mapa final'!#REF!="Alta",'2.Mapa final'!#REF!="Moderado"),CONCATENATE("R2C",'2.Mapa final'!#REF!),"")</f>
        <v>#REF!</v>
      </c>
      <c r="O11" s="32" t="e">
        <f>IF(AND('2.Mapa final'!#REF!="Alta",'2.Mapa final'!#REF!="Moderado"),CONCATENATE("R2C",'2.Mapa final'!#REF!),"")</f>
        <v>#REF!</v>
      </c>
      <c r="P11" s="32" t="e">
        <f>IF(AND('2.Mapa final'!#REF!="Alta",'2.Mapa final'!#REF!="Moderado"),CONCATENATE("R2C",'2.Mapa final'!#REF!),"")</f>
        <v>#REF!</v>
      </c>
      <c r="Q11" s="72" t="e">
        <f>IF(AND('2.Mapa final'!#REF!="Alta",'2.Mapa final'!#REF!="Mayor"),CONCATENATE("R2C",'2.Mapa final'!#REF!),"")</f>
        <v>#REF!</v>
      </c>
      <c r="R11" s="32" t="e">
        <f>IF(AND('2.Mapa final'!#REF!="Alta",'2.Mapa final'!#REF!="Mayor"),CONCATENATE("R2C",'2.Mapa final'!#REF!),"")</f>
        <v>#REF!</v>
      </c>
      <c r="S11" s="73" t="e">
        <f>IF(AND('2.Mapa final'!#REF!="Alta",'2.Mapa final'!#REF!="Mayor"),CONCATENATE("R2C",'2.Mapa final'!#REF!),"")</f>
        <v>#REF!</v>
      </c>
      <c r="T11" s="80" t="e">
        <f>IF(AND('2.Mapa final'!#REF!="Alta",'2.Mapa final'!#REF!="Catastrófico"),CONCATENATE("R2C",'2.Mapa final'!#REF!),"")</f>
        <v>#REF!</v>
      </c>
      <c r="U11" s="33" t="e">
        <f>IF(AND('2.Mapa final'!#REF!="Alta",'2.Mapa final'!#REF!="Catastrófico"),CONCATENATE("R2C",'2.Mapa final'!#REF!),"")</f>
        <v>#REF!</v>
      </c>
      <c r="V11" s="81" t="e">
        <f>IF(AND('2.Mapa final'!#REF!="Alta",'2.Mapa final'!#REF!="Catastrófico"),CONCATENATE("R2C",'2.Mapa final'!#REF!),"")</f>
        <v>#REF!</v>
      </c>
      <c r="W11" s="36"/>
      <c r="X11" s="945"/>
      <c r="Y11" s="946"/>
      <c r="Z11" s="946"/>
      <c r="AA11" s="946"/>
      <c r="AB11" s="946"/>
      <c r="AC11" s="947"/>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row>
    <row r="12" spans="1:74" ht="15" customHeight="1" x14ac:dyDescent="0.25">
      <c r="A12" s="36"/>
      <c r="B12" s="941"/>
      <c r="C12" s="941"/>
      <c r="D12" s="941"/>
      <c r="E12" s="949"/>
      <c r="F12" s="949"/>
      <c r="G12" s="949"/>
      <c r="H12" s="88" t="e">
        <f>IF(AND('2.Mapa final'!#REF!="Alta",'2.Mapa final'!#REF!="Leve"),CONCATENATE("R3C",'2.Mapa final'!#REF!),"")</f>
        <v>#REF!</v>
      </c>
      <c r="I12" s="34" t="e">
        <f>IF(AND('2.Mapa final'!#REF!="Alta",'2.Mapa final'!#REF!="Leve"),CONCATENATE("R3C",'2.Mapa final'!#REF!),"")</f>
        <v>#REF!</v>
      </c>
      <c r="J12" s="89" t="e">
        <f>IF(AND('2.Mapa final'!#REF!="Alta",'2.Mapa final'!#REF!="Leve"),CONCATENATE("R3C",'2.Mapa final'!#REF!),"")</f>
        <v>#REF!</v>
      </c>
      <c r="K12" s="88" t="e">
        <f>IF(AND('2.Mapa final'!#REF!="Alta",'2.Mapa final'!#REF!="Menor"),CONCATENATE("R3C",'2.Mapa final'!#REF!),"")</f>
        <v>#REF!</v>
      </c>
      <c r="L12" s="34" t="e">
        <f>IF(AND('2.Mapa final'!#REF!="Alta",'2.Mapa final'!#REF!="Menor"),CONCATENATE("R3C",'2.Mapa final'!#REF!),"")</f>
        <v>#REF!</v>
      </c>
      <c r="M12" s="89" t="e">
        <f>IF(AND('2.Mapa final'!#REF!="Alta",'2.Mapa final'!#REF!="Menor"),CONCATENATE("R3C",'2.Mapa final'!#REF!),"")</f>
        <v>#REF!</v>
      </c>
      <c r="N12" s="32" t="e">
        <f>IF(AND('2.Mapa final'!#REF!="Alta",'2.Mapa final'!#REF!="Moderado"),CONCATENATE("R3C",'2.Mapa final'!#REF!),"")</f>
        <v>#REF!</v>
      </c>
      <c r="O12" s="32" t="e">
        <f>IF(AND('2.Mapa final'!#REF!="Alta",'2.Mapa final'!#REF!="Moderado"),CONCATENATE("R3C",'2.Mapa final'!#REF!),"")</f>
        <v>#REF!</v>
      </c>
      <c r="P12" s="32" t="e">
        <f>IF(AND('2.Mapa final'!#REF!="Alta",'2.Mapa final'!#REF!="Moderado"),CONCATENATE("R3C",'2.Mapa final'!#REF!),"")</f>
        <v>#REF!</v>
      </c>
      <c r="Q12" s="72" t="e">
        <f>IF(AND('2.Mapa final'!#REF!="Alta",'2.Mapa final'!#REF!="Mayor"),CONCATENATE("R3C",'2.Mapa final'!#REF!),"")</f>
        <v>#REF!</v>
      </c>
      <c r="R12" s="32" t="e">
        <f>IF(AND('2.Mapa final'!#REF!="Alta",'2.Mapa final'!#REF!="Mayor"),CONCATENATE("R3C",'2.Mapa final'!#REF!),"")</f>
        <v>#REF!</v>
      </c>
      <c r="S12" s="73" t="e">
        <f>IF(AND('2.Mapa final'!#REF!="Alta",'2.Mapa final'!#REF!="Mayor"),CONCATENATE("R3C",'2.Mapa final'!#REF!),"")</f>
        <v>#REF!</v>
      </c>
      <c r="T12" s="80" t="e">
        <f>IF(AND('2.Mapa final'!#REF!="Alta",'2.Mapa final'!#REF!="Catastrófico"),CONCATENATE("R3C",'2.Mapa final'!#REF!),"")</f>
        <v>#REF!</v>
      </c>
      <c r="U12" s="33" t="e">
        <f>IF(AND('2.Mapa final'!#REF!="Alta",'2.Mapa final'!#REF!="Catastrófico"),CONCATENATE("R3C",'2.Mapa final'!#REF!),"")</f>
        <v>#REF!</v>
      </c>
      <c r="V12" s="81" t="e">
        <f>IF(AND('2.Mapa final'!#REF!="Alta",'2.Mapa final'!#REF!="Catastrófico"),CONCATENATE("R3C",'2.Mapa final'!#REF!),"")</f>
        <v>#REF!</v>
      </c>
      <c r="W12" s="36"/>
      <c r="X12" s="945"/>
      <c r="Y12" s="946"/>
      <c r="Z12" s="946"/>
      <c r="AA12" s="946"/>
      <c r="AB12" s="946"/>
      <c r="AC12" s="947"/>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row>
    <row r="13" spans="1:74" ht="15" customHeight="1" thickBot="1" x14ac:dyDescent="0.3">
      <c r="A13" s="36"/>
      <c r="B13" s="941"/>
      <c r="C13" s="941"/>
      <c r="D13" s="941"/>
      <c r="E13" s="949"/>
      <c r="F13" s="949"/>
      <c r="G13" s="949"/>
      <c r="H13" s="90" t="e">
        <f>IF(AND('2.Mapa final'!#REF!="Alta",'2.Mapa final'!#REF!="Leve"),CONCATENATE("R4C",'2.Mapa final'!#REF!),"")</f>
        <v>#REF!</v>
      </c>
      <c r="I13" s="91" t="e">
        <f>IF(AND('2.Mapa final'!#REF!="Alta",'2.Mapa final'!#REF!="Leve"),CONCATENATE("R4C",'2.Mapa final'!#REF!),"")</f>
        <v>#REF!</v>
      </c>
      <c r="J13" s="92" t="e">
        <f>IF(AND('2.Mapa final'!#REF!="Alta",'2.Mapa final'!#REF!="Leve"),CONCATENATE("R4C",'2.Mapa final'!#REF!),"")</f>
        <v>#REF!</v>
      </c>
      <c r="K13" s="90" t="e">
        <f>IF(AND('2.Mapa final'!#REF!="Alta",'2.Mapa final'!#REF!="Menor"),CONCATENATE("R4C",'2.Mapa final'!#REF!),"")</f>
        <v>#REF!</v>
      </c>
      <c r="L13" s="91" t="e">
        <f>IF(AND('2.Mapa final'!#REF!="Alta",'2.Mapa final'!#REF!="Menor"),CONCATENATE("R4C",'2.Mapa final'!#REF!),"")</f>
        <v>#REF!</v>
      </c>
      <c r="M13" s="92" t="e">
        <f>IF(AND('2.Mapa final'!#REF!="Alta",'2.Mapa final'!#REF!="Menor"),CONCATENATE("R4C",'2.Mapa final'!#REF!),"")</f>
        <v>#REF!</v>
      </c>
      <c r="N13" s="32" t="e">
        <f>IF(AND('2.Mapa final'!#REF!="Alta",'2.Mapa final'!#REF!="Moderado"),CONCATENATE("R4C",'2.Mapa final'!#REF!),"")</f>
        <v>#REF!</v>
      </c>
      <c r="O13" s="32" t="e">
        <f>IF(AND('2.Mapa final'!#REF!="Alta",'2.Mapa final'!#REF!="Moderado"),CONCATENATE("R4C",'2.Mapa final'!#REF!),"")</f>
        <v>#REF!</v>
      </c>
      <c r="P13" s="32" t="e">
        <f>IF(AND('2.Mapa final'!#REF!="Alta",'2.Mapa final'!#REF!="Moderado"),CONCATENATE("R4C",'2.Mapa final'!#REF!),"")</f>
        <v>#REF!</v>
      </c>
      <c r="Q13" s="74" t="e">
        <f>IF(AND('2.Mapa final'!#REF!="Alta",'2.Mapa final'!#REF!="Mayor"),CONCATENATE("R4C",'2.Mapa final'!#REF!),"")</f>
        <v>#REF!</v>
      </c>
      <c r="R13" s="75" t="e">
        <f>IF(AND('2.Mapa final'!#REF!="Alta",'2.Mapa final'!#REF!="Mayor"),CONCATENATE("R4C",'2.Mapa final'!#REF!),"")</f>
        <v>#REF!</v>
      </c>
      <c r="S13" s="76" t="e">
        <f>IF(AND('2.Mapa final'!#REF!="Alta",'2.Mapa final'!#REF!="Mayor"),CONCATENATE("R4C",'2.Mapa final'!#REF!),"")</f>
        <v>#REF!</v>
      </c>
      <c r="T13" s="82" t="e">
        <f>IF(AND('2.Mapa final'!#REF!="Alta",'2.Mapa final'!#REF!="Catastrófico"),CONCATENATE("R4C",'2.Mapa final'!#REF!),"")</f>
        <v>#REF!</v>
      </c>
      <c r="U13" s="83" t="e">
        <f>IF(AND('2.Mapa final'!#REF!="Alta",'2.Mapa final'!#REF!="Catastrófico"),CONCATENATE("R4C",'2.Mapa final'!#REF!),"")</f>
        <v>#REF!</v>
      </c>
      <c r="V13" s="84" t="e">
        <f>IF(AND('2.Mapa final'!#REF!="Alta",'2.Mapa final'!#REF!="Catastrófico"),CONCATENATE("R4C",'2.Mapa final'!#REF!),"")</f>
        <v>#REF!</v>
      </c>
      <c r="W13" s="36"/>
      <c r="X13" s="945"/>
      <c r="Y13" s="946"/>
      <c r="Z13" s="946"/>
      <c r="AA13" s="946"/>
      <c r="AB13" s="946"/>
      <c r="AC13" s="947"/>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row>
    <row r="14" spans="1:74" ht="15" customHeight="1" x14ac:dyDescent="0.25">
      <c r="A14" s="36"/>
      <c r="B14" s="941"/>
      <c r="C14" s="941"/>
      <c r="D14" s="941"/>
      <c r="E14" s="948" t="s">
        <v>103</v>
      </c>
      <c r="F14" s="949"/>
      <c r="G14" s="949"/>
      <c r="H14" s="85" t="str">
        <f>IF(AND('2.Mapa final'!$AE$19="Media",'2.Mapa final'!$AG$19="Leve"),CONCATENATE("R1C",'2.Mapa final'!$S$19),"")</f>
        <v/>
      </c>
      <c r="I14" s="86" t="e">
        <f>IF(AND('2.Mapa final'!#REF!="Media",'2.Mapa final'!#REF!="Leve"),CONCATENATE("R1C",'2.Mapa final'!#REF!),"")</f>
        <v>#REF!</v>
      </c>
      <c r="J14" s="87" t="str">
        <f>IF(AND('2.Mapa final'!$AE$51="Media",'2.Mapa final'!$AG$51="Leve"),CONCATENATE("R1C",'2.Mapa final'!$S$51),"")</f>
        <v/>
      </c>
      <c r="K14" s="85" t="str">
        <f>IF(AND('2.Mapa final'!$AE$19="Media",'2.Mapa final'!$AG$19="Menor"),CONCATENATE("R1C",'2.Mapa final'!$S$19),"")</f>
        <v/>
      </c>
      <c r="L14" s="86" t="e">
        <f>IF(AND('2.Mapa final'!#REF!="Media",'2.Mapa final'!#REF!="Menor"),CONCATENATE("R1C",'2.Mapa final'!#REF!),"")</f>
        <v>#REF!</v>
      </c>
      <c r="M14" s="87" t="str">
        <f>IF(AND('2.Mapa final'!$AE$51="Media",'2.Mapa final'!$AG$51="Menor"),CONCATENATE("R1C",'2.Mapa final'!$S$51),"")</f>
        <v/>
      </c>
      <c r="N14" s="85" t="str">
        <f>IF(AND('2.Mapa final'!$AE$19="Media",'2.Mapa final'!$AG$19="Moderado"),CONCATENATE("R1C",'2.Mapa final'!$S$19),"")</f>
        <v/>
      </c>
      <c r="O14" s="86" t="e">
        <f>IF(AND('2.Mapa final'!#REF!="Media",'2.Mapa final'!#REF!="Moderado"),CONCATENATE("R1C",'2.Mapa final'!#REF!),"")</f>
        <v>#REF!</v>
      </c>
      <c r="P14" s="87" t="str">
        <f>IF(AND('2.Mapa final'!$AE$51="Media",'2.Mapa final'!$AG$51="Moderado"),CONCATENATE("R1C",'2.Mapa final'!$S$51),"")</f>
        <v>R1C2</v>
      </c>
      <c r="Q14" s="69" t="str">
        <f>IF(AND('2.Mapa final'!$AE$19="Media",'2.Mapa final'!$AG$19="Mayor"),CONCATENATE("R1C",'2.Mapa final'!$S$19),"")</f>
        <v/>
      </c>
      <c r="R14" s="70" t="e">
        <f>IF(AND('2.Mapa final'!#REF!="Media",'2.Mapa final'!#REF!="Mayor"),CONCATENATE("R1C",'2.Mapa final'!#REF!),"")</f>
        <v>#REF!</v>
      </c>
      <c r="S14" s="71" t="str">
        <f>IF(AND('2.Mapa final'!$AE$51="Media",'2.Mapa final'!$AG$51="Mayor"),CONCATENATE("R1C",'2.Mapa final'!$S$51),"")</f>
        <v/>
      </c>
      <c r="T14" s="77" t="str">
        <f>IF(AND('2.Mapa final'!$AE$19="Media",'2.Mapa final'!$AG$19="Catastrófico"),CONCATENATE("R1C",'2.Mapa final'!$S$19),"")</f>
        <v/>
      </c>
      <c r="U14" s="78" t="e">
        <f>IF(AND('2.Mapa final'!#REF!="Media",'2.Mapa final'!#REF!="Catastrófico"),CONCATENATE("R1C",'2.Mapa final'!#REF!),"")</f>
        <v>#REF!</v>
      </c>
      <c r="V14" s="79" t="str">
        <f>IF(AND('2.Mapa final'!$AE$51="Media",'2.Mapa final'!$AG$51="Catastrófico"),CONCATENATE("R1C",'2.Mapa final'!$S$51),"")</f>
        <v/>
      </c>
      <c r="W14" s="36"/>
      <c r="X14" s="964" t="s">
        <v>68</v>
      </c>
      <c r="Y14" s="965"/>
      <c r="Z14" s="965"/>
      <c r="AA14" s="965"/>
      <c r="AB14" s="965"/>
      <c r="AC14" s="96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row>
    <row r="15" spans="1:74" ht="15" customHeight="1" x14ac:dyDescent="0.25">
      <c r="A15" s="36"/>
      <c r="B15" s="941"/>
      <c r="C15" s="941"/>
      <c r="D15" s="941"/>
      <c r="E15" s="948"/>
      <c r="F15" s="949"/>
      <c r="G15" s="949"/>
      <c r="H15" s="88" t="e">
        <f>IF(AND('2.Mapa final'!#REF!="Media",'2.Mapa final'!#REF!="Leve"),CONCATENATE("R2C",'2.Mapa final'!#REF!),"")</f>
        <v>#REF!</v>
      </c>
      <c r="I15" s="34" t="e">
        <f>IF(AND('2.Mapa final'!#REF!="Media",'2.Mapa final'!#REF!="Leve"),CONCATENATE("R2C",'2.Mapa final'!#REF!),"")</f>
        <v>#REF!</v>
      </c>
      <c r="J15" s="89" t="e">
        <f>IF(AND('2.Mapa final'!#REF!="Media",'2.Mapa final'!#REF!="Leve"),CONCATENATE("R2C",'2.Mapa final'!#REF!),"")</f>
        <v>#REF!</v>
      </c>
      <c r="K15" s="88" t="e">
        <f>IF(AND('2.Mapa final'!#REF!="Media",'2.Mapa final'!#REF!="Menor"),CONCATENATE("R2C",'2.Mapa final'!#REF!),"")</f>
        <v>#REF!</v>
      </c>
      <c r="L15" s="34" t="e">
        <f>IF(AND('2.Mapa final'!#REF!="Media",'2.Mapa final'!#REF!="Menor"),CONCATENATE("R2C",'2.Mapa final'!#REF!),"")</f>
        <v>#REF!</v>
      </c>
      <c r="M15" s="89" t="e">
        <f>IF(AND('2.Mapa final'!#REF!="Media",'2.Mapa final'!#REF!="Menor"),CONCATENATE("R2C",'2.Mapa final'!#REF!),"")</f>
        <v>#REF!</v>
      </c>
      <c r="N15" s="88" t="e">
        <f>IF(AND('2.Mapa final'!#REF!="Media",'2.Mapa final'!#REF!="Moderado"),CONCATENATE("R2C",'2.Mapa final'!#REF!),"")</f>
        <v>#REF!</v>
      </c>
      <c r="O15" s="34" t="e">
        <f>IF(AND('2.Mapa final'!#REF!="Media",'2.Mapa final'!#REF!="Moderado"),CONCATENATE("R2C",'2.Mapa final'!#REF!),"")</f>
        <v>#REF!</v>
      </c>
      <c r="P15" s="89" t="e">
        <f>IF(AND('2.Mapa final'!#REF!="Media",'2.Mapa final'!#REF!="Moderado"),CONCATENATE("R2C",'2.Mapa final'!#REF!),"")</f>
        <v>#REF!</v>
      </c>
      <c r="Q15" s="72" t="e">
        <f>IF(AND('2.Mapa final'!#REF!="Media",'2.Mapa final'!#REF!="Mayor"),CONCATENATE("R2C",'2.Mapa final'!#REF!),"")</f>
        <v>#REF!</v>
      </c>
      <c r="R15" s="32" t="e">
        <f>IF(AND('2.Mapa final'!#REF!="Media",'2.Mapa final'!#REF!="Mayor"),CONCATENATE("R2C",'2.Mapa final'!#REF!),"")</f>
        <v>#REF!</v>
      </c>
      <c r="S15" s="73" t="e">
        <f>IF(AND('2.Mapa final'!#REF!="Media",'2.Mapa final'!#REF!="Mayor"),CONCATENATE("R2C",'2.Mapa final'!#REF!),"")</f>
        <v>#REF!</v>
      </c>
      <c r="T15" s="80" t="e">
        <f>IF(AND('2.Mapa final'!#REF!="Media",'2.Mapa final'!#REF!="Catastrófico"),CONCATENATE("R2C",'2.Mapa final'!#REF!),"")</f>
        <v>#REF!</v>
      </c>
      <c r="U15" s="33" t="e">
        <f>IF(AND('2.Mapa final'!#REF!="Media",'2.Mapa final'!#REF!="Catastrófico"),CONCATENATE("R2C",'2.Mapa final'!#REF!),"")</f>
        <v>#REF!</v>
      </c>
      <c r="V15" s="81" t="e">
        <f>IF(AND('2.Mapa final'!#REF!="Media",'2.Mapa final'!#REF!="Catastrófico"),CONCATENATE("R2C",'2.Mapa final'!#REF!),"")</f>
        <v>#REF!</v>
      </c>
      <c r="W15" s="36"/>
      <c r="X15" s="967"/>
      <c r="Y15" s="968"/>
      <c r="Z15" s="968"/>
      <c r="AA15" s="968"/>
      <c r="AB15" s="968"/>
      <c r="AC15" s="969"/>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row>
    <row r="16" spans="1:74" ht="15" customHeight="1" x14ac:dyDescent="0.25">
      <c r="A16" s="36"/>
      <c r="B16" s="941"/>
      <c r="C16" s="941"/>
      <c r="D16" s="941"/>
      <c r="E16" s="949"/>
      <c r="F16" s="949"/>
      <c r="G16" s="949"/>
      <c r="H16" s="88" t="e">
        <f>IF(AND('2.Mapa final'!#REF!="Media",'2.Mapa final'!#REF!="Leve"),CONCATENATE("R3C",'2.Mapa final'!#REF!),"")</f>
        <v>#REF!</v>
      </c>
      <c r="I16" s="34" t="e">
        <f>IF(AND('2.Mapa final'!#REF!="Media",'2.Mapa final'!#REF!="Leve"),CONCATENATE("R3C",'2.Mapa final'!#REF!),"")</f>
        <v>#REF!</v>
      </c>
      <c r="J16" s="89" t="e">
        <f>IF(AND('2.Mapa final'!#REF!="Media",'2.Mapa final'!#REF!="Leve"),CONCATENATE("R3C",'2.Mapa final'!#REF!),"")</f>
        <v>#REF!</v>
      </c>
      <c r="K16" s="88" t="e">
        <f>IF(AND('2.Mapa final'!#REF!="Media",'2.Mapa final'!#REF!="Menor"),CONCATENATE("R3C",'2.Mapa final'!#REF!),"")</f>
        <v>#REF!</v>
      </c>
      <c r="L16" s="34" t="e">
        <f>IF(AND('2.Mapa final'!#REF!="Media",'2.Mapa final'!#REF!="Menor"),CONCATENATE("R3C",'2.Mapa final'!#REF!),"")</f>
        <v>#REF!</v>
      </c>
      <c r="M16" s="89" t="e">
        <f>IF(AND('2.Mapa final'!#REF!="Media",'2.Mapa final'!#REF!="Menor"),CONCATENATE("R3C",'2.Mapa final'!#REF!),"")</f>
        <v>#REF!</v>
      </c>
      <c r="N16" s="88" t="e">
        <f>IF(AND('2.Mapa final'!#REF!="Media",'2.Mapa final'!#REF!="Moderado"),CONCATENATE("R3C",'2.Mapa final'!#REF!),"")</f>
        <v>#REF!</v>
      </c>
      <c r="O16" s="34" t="e">
        <f>IF(AND('2.Mapa final'!#REF!="Media",'2.Mapa final'!#REF!="Moderado"),CONCATENATE("R3C",'2.Mapa final'!#REF!),"")</f>
        <v>#REF!</v>
      </c>
      <c r="P16" s="89" t="e">
        <f>IF(AND('2.Mapa final'!#REF!="Media",'2.Mapa final'!#REF!="Moderado"),CONCATENATE("R3C",'2.Mapa final'!#REF!),"")</f>
        <v>#REF!</v>
      </c>
      <c r="Q16" s="72" t="e">
        <f>IF(AND('2.Mapa final'!#REF!="Media",'2.Mapa final'!#REF!="Mayor"),CONCATENATE("R3C",'2.Mapa final'!#REF!),"")</f>
        <v>#REF!</v>
      </c>
      <c r="R16" s="32" t="e">
        <f>IF(AND('2.Mapa final'!#REF!="Media",'2.Mapa final'!#REF!="Mayor"),CONCATENATE("R3C",'2.Mapa final'!#REF!),"")</f>
        <v>#REF!</v>
      </c>
      <c r="S16" s="73" t="e">
        <f>IF(AND('2.Mapa final'!#REF!="Media",'2.Mapa final'!#REF!="Mayor"),CONCATENATE("R3C",'2.Mapa final'!#REF!),"")</f>
        <v>#REF!</v>
      </c>
      <c r="T16" s="80" t="e">
        <f>IF(AND('2.Mapa final'!#REF!="Media",'2.Mapa final'!#REF!="Catastrófico"),CONCATENATE("R3C",'2.Mapa final'!#REF!),"")</f>
        <v>#REF!</v>
      </c>
      <c r="U16" s="33" t="e">
        <f>IF(AND('2.Mapa final'!#REF!="Media",'2.Mapa final'!#REF!="Catastrófico"),CONCATENATE("R3C",'2.Mapa final'!#REF!),"")</f>
        <v>#REF!</v>
      </c>
      <c r="V16" s="81" t="e">
        <f>IF(AND('2.Mapa final'!#REF!="Media",'2.Mapa final'!#REF!="Catastrófico"),CONCATENATE("R3C",'2.Mapa final'!#REF!),"")</f>
        <v>#REF!</v>
      </c>
      <c r="W16" s="36"/>
      <c r="X16" s="967"/>
      <c r="Y16" s="968"/>
      <c r="Z16" s="968"/>
      <c r="AA16" s="968"/>
      <c r="AB16" s="968"/>
      <c r="AC16" s="969"/>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row>
    <row r="17" spans="1:63" ht="15" customHeight="1" thickBot="1" x14ac:dyDescent="0.3">
      <c r="A17" s="36"/>
      <c r="B17" s="941"/>
      <c r="C17" s="941"/>
      <c r="D17" s="941"/>
      <c r="E17" s="949"/>
      <c r="F17" s="949"/>
      <c r="G17" s="949"/>
      <c r="H17" s="90" t="e">
        <f>IF(AND('2.Mapa final'!#REF!="Media",'2.Mapa final'!#REF!="Leve"),CONCATENATE("R4C",'2.Mapa final'!#REF!),"")</f>
        <v>#REF!</v>
      </c>
      <c r="I17" s="91" t="e">
        <f>IF(AND('2.Mapa final'!#REF!="Media",'2.Mapa final'!#REF!="Leve"),CONCATENATE("R4C",'2.Mapa final'!#REF!),"")</f>
        <v>#REF!</v>
      </c>
      <c r="J17" s="92" t="e">
        <f>IF(AND('2.Mapa final'!#REF!="Media",'2.Mapa final'!#REF!="Leve"),CONCATENATE("R4C",'2.Mapa final'!#REF!),"")</f>
        <v>#REF!</v>
      </c>
      <c r="K17" s="90" t="e">
        <f>IF(AND('2.Mapa final'!#REF!="Media",'2.Mapa final'!#REF!="Menor"),CONCATENATE("R4C",'2.Mapa final'!#REF!),"")</f>
        <v>#REF!</v>
      </c>
      <c r="L17" s="91" t="e">
        <f>IF(AND('2.Mapa final'!#REF!="Media",'2.Mapa final'!#REF!="Menor"),CONCATENATE("R4C",'2.Mapa final'!#REF!),"")</f>
        <v>#REF!</v>
      </c>
      <c r="M17" s="92" t="e">
        <f>IF(AND('2.Mapa final'!#REF!="Media",'2.Mapa final'!#REF!="Menor"),CONCATENATE("R4C",'2.Mapa final'!#REF!),"")</f>
        <v>#REF!</v>
      </c>
      <c r="N17" s="90" t="e">
        <f>IF(AND('2.Mapa final'!#REF!="Media",'2.Mapa final'!#REF!="Moderado"),CONCATENATE("R4C",'2.Mapa final'!#REF!),"")</f>
        <v>#REF!</v>
      </c>
      <c r="O17" s="91" t="e">
        <f>IF(AND('2.Mapa final'!#REF!="Media",'2.Mapa final'!#REF!="Moderado"),CONCATENATE("R4C",'2.Mapa final'!#REF!),"")</f>
        <v>#REF!</v>
      </c>
      <c r="P17" s="92" t="e">
        <f>IF(AND('2.Mapa final'!#REF!="Media",'2.Mapa final'!#REF!="Moderado"),CONCATENATE("R4C",'2.Mapa final'!#REF!),"")</f>
        <v>#REF!</v>
      </c>
      <c r="Q17" s="74" t="e">
        <f>IF(AND('2.Mapa final'!#REF!="Media",'2.Mapa final'!#REF!="Mayor"),CONCATENATE("R4C",'2.Mapa final'!#REF!),"")</f>
        <v>#REF!</v>
      </c>
      <c r="R17" s="75" t="e">
        <f>IF(AND('2.Mapa final'!#REF!="Media",'2.Mapa final'!#REF!="Mayor"),CONCATENATE("R4C",'2.Mapa final'!#REF!),"")</f>
        <v>#REF!</v>
      </c>
      <c r="S17" s="76" t="e">
        <f>IF(AND('2.Mapa final'!#REF!="Media",'2.Mapa final'!#REF!="Mayor"),CONCATENATE("RC",'2.Mapa final'!#REF!),"")</f>
        <v>#REF!</v>
      </c>
      <c r="T17" s="82" t="e">
        <f>IF(AND('2.Mapa final'!#REF!="Media",'2.Mapa final'!#REF!="Catastrófico"),CONCATENATE("R4C",'2.Mapa final'!#REF!),"")</f>
        <v>#REF!</v>
      </c>
      <c r="U17" s="83" t="e">
        <f>IF(AND('2.Mapa final'!#REF!="Media",'2.Mapa final'!#REF!="Catastrófico"),CONCATENATE("R4C",'2.Mapa final'!#REF!),"")</f>
        <v>#REF!</v>
      </c>
      <c r="V17" s="84" t="e">
        <f>IF(AND('2.Mapa final'!#REF!="Media",'2.Mapa final'!#REF!="Catastrófico"),CONCATENATE("R4C",'2.Mapa final'!#REF!),"")</f>
        <v>#REF!</v>
      </c>
      <c r="W17" s="36"/>
      <c r="X17" s="967"/>
      <c r="Y17" s="968"/>
      <c r="Z17" s="968"/>
      <c r="AA17" s="968"/>
      <c r="AB17" s="968"/>
      <c r="AC17" s="969"/>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row>
    <row r="18" spans="1:63" ht="15" customHeight="1" x14ac:dyDescent="0.25">
      <c r="A18" s="36"/>
      <c r="B18" s="941"/>
      <c r="C18" s="941"/>
      <c r="D18" s="941"/>
      <c r="E18" s="948" t="s">
        <v>100</v>
      </c>
      <c r="F18" s="949"/>
      <c r="G18" s="949"/>
      <c r="H18" s="93" t="str">
        <f>IF(AND('2.Mapa final'!$AE$19="Baja",'2.Mapa final'!$AG$19="Leve"),CONCATENATE("R1C",'2.Mapa final'!$S$19),"")</f>
        <v/>
      </c>
      <c r="I18" s="94" t="e">
        <f>IF(AND('2.Mapa final'!#REF!="Baja",'2.Mapa final'!#REF!="Leve"),CONCATENATE("R1C",'2.Mapa final'!#REF!),"")</f>
        <v>#REF!</v>
      </c>
      <c r="J18" s="95" t="str">
        <f>IF(AND('2.Mapa final'!$AE$51="Baja",'2.Mapa final'!$AG$51="Leve"),CONCATENATE("R1C",'2.Mapa final'!$S$51),"")</f>
        <v/>
      </c>
      <c r="K18" s="85" t="str">
        <f>IF(AND('2.Mapa final'!$AE$19="Baja",'2.Mapa final'!$AG$19="Menor"),CONCATENATE("R1C",'2.Mapa final'!$S$19),"")</f>
        <v>R1C3</v>
      </c>
      <c r="L18" s="86" t="e">
        <f>IF(AND('2.Mapa final'!#REF!="Baja",'2.Mapa final'!#REF!="Menor"),CONCATENATE("R1C",'2.Mapa final'!#REF!),"")</f>
        <v>#REF!</v>
      </c>
      <c r="M18" s="87" t="str">
        <f>IF(AND('2.Mapa final'!$AE$51="Baja",'2.Mapa final'!$AG$51="Menor"),CONCATENATE("R1C",'2.Mapa final'!$S$51),"")</f>
        <v/>
      </c>
      <c r="N18" s="85" t="str">
        <f>IF(AND('2.Mapa final'!$AE$19="Baja",'2.Mapa final'!$AG$19="Moderado"),CONCATENATE("R1C",'2.Mapa final'!$S$19),"")</f>
        <v/>
      </c>
      <c r="O18" s="86" t="e">
        <f>IF(AND('2.Mapa final'!#REF!="Baja",'2.Mapa final'!#REF!="Moderado"),CONCATENATE("R1C",'2.Mapa final'!#REF!),"")</f>
        <v>#REF!</v>
      </c>
      <c r="P18" s="87" t="str">
        <f>IF(AND('2.Mapa final'!$AE$51="Baja",'2.Mapa final'!$AG$51="Moderado"),CONCATENATE("R1C",'2.Mapa final'!$S$51),"")</f>
        <v/>
      </c>
      <c r="Q18" s="69" t="str">
        <f>IF(AND('2.Mapa final'!$AE$19="Baja",'2.Mapa final'!$AG$19="Mayor"),CONCATENATE("R1C",'2.Mapa final'!$S$19),"")</f>
        <v/>
      </c>
      <c r="R18" s="70" t="e">
        <f>IF(AND('2.Mapa final'!#REF!="Baja",'2.Mapa final'!#REF!="Mayor"),CONCATENATE("R1C",'2.Mapa final'!#REF!),"")</f>
        <v>#REF!</v>
      </c>
      <c r="S18" s="71" t="str">
        <f>IF(AND('2.Mapa final'!$AE$51="Baja",'2.Mapa final'!$AG$51="Mayor"),CONCATENATE("R1C",'2.Mapa final'!$S$51),"")</f>
        <v/>
      </c>
      <c r="T18" s="77" t="str">
        <f>IF(AND('2.Mapa final'!$AE$19="Baja",'2.Mapa final'!$AG$19="Catastrófico"),CONCATENATE("R1C",'2.Mapa final'!$S$19),"")</f>
        <v/>
      </c>
      <c r="U18" s="78" t="e">
        <f>IF(AND('2.Mapa final'!#REF!="Baja",'2.Mapa final'!#REF!="Catastrófico"),CONCATENATE("R1C",'2.Mapa final'!#REF!),"")</f>
        <v>#REF!</v>
      </c>
      <c r="V18" s="79" t="str">
        <f>IF(AND('2.Mapa final'!$AE$51="Baja",'2.Mapa final'!$AG$51="Catastrófico"),CONCATENATE("R1C",'2.Mapa final'!$S$51),"")</f>
        <v/>
      </c>
      <c r="W18" s="36"/>
      <c r="X18" s="958" t="s">
        <v>69</v>
      </c>
      <c r="Y18" s="959"/>
      <c r="Z18" s="959"/>
      <c r="AA18" s="959"/>
      <c r="AB18" s="959"/>
      <c r="AC18" s="960"/>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row>
    <row r="19" spans="1:63" ht="15" customHeight="1" x14ac:dyDescent="0.25">
      <c r="A19" s="36"/>
      <c r="B19" s="941"/>
      <c r="C19" s="941"/>
      <c r="D19" s="941"/>
      <c r="E19" s="948"/>
      <c r="F19" s="949"/>
      <c r="G19" s="949"/>
      <c r="H19" s="96" t="e">
        <f>IF(AND('2.Mapa final'!#REF!="Baja",'2.Mapa final'!#REF!="Leve"),CONCATENATE("R2C",'2.Mapa final'!#REF!),"")</f>
        <v>#REF!</v>
      </c>
      <c r="I19" s="35" t="e">
        <f>IF(AND('2.Mapa final'!#REF!="Baja",'2.Mapa final'!#REF!="Leve"),CONCATENATE("R2C",'2.Mapa final'!#REF!),"")</f>
        <v>#REF!</v>
      </c>
      <c r="J19" s="97" t="e">
        <f>IF(AND('2.Mapa final'!#REF!="Baja",'2.Mapa final'!#REF!="Leve"),CONCATENATE("R2C",'2.Mapa final'!#REF!),"")</f>
        <v>#REF!</v>
      </c>
      <c r="K19" s="88" t="e">
        <f>IF(AND('2.Mapa final'!#REF!="Baja",'2.Mapa final'!#REF!="Menor"),CONCATENATE("R2C",'2.Mapa final'!#REF!),"")</f>
        <v>#REF!</v>
      </c>
      <c r="L19" s="34" t="e">
        <f>IF(AND('2.Mapa final'!#REF!="Baja",'2.Mapa final'!#REF!="Menor"),CONCATENATE("R2C",'2.Mapa final'!#REF!),"")</f>
        <v>#REF!</v>
      </c>
      <c r="M19" s="89" t="e">
        <f>IF(AND('2.Mapa final'!#REF!="Baja",'2.Mapa final'!#REF!="Menor"),CONCATENATE("R2C",'2.Mapa final'!#REF!),"")</f>
        <v>#REF!</v>
      </c>
      <c r="N19" s="88" t="e">
        <f>IF(AND('2.Mapa final'!#REF!="Baja",'2.Mapa final'!#REF!="Moderado"),CONCATENATE("R2C",'2.Mapa final'!#REF!),"")</f>
        <v>#REF!</v>
      </c>
      <c r="O19" s="34" t="e">
        <f>IF(AND('2.Mapa final'!#REF!="Baja",'2.Mapa final'!#REF!="Moderado"),CONCATENATE("R2C",'2.Mapa final'!#REF!),"")</f>
        <v>#REF!</v>
      </c>
      <c r="P19" s="89" t="e">
        <f>IF(AND('2.Mapa final'!#REF!="Baja",'2.Mapa final'!#REF!="Moderado"),CONCATENATE("R2C",'2.Mapa final'!#REF!),"")</f>
        <v>#REF!</v>
      </c>
      <c r="Q19" s="72" t="e">
        <f>IF(AND('2.Mapa final'!#REF!="Baja",'2.Mapa final'!#REF!="Mayor"),CONCATENATE("R2C",'2.Mapa final'!#REF!),"")</f>
        <v>#REF!</v>
      </c>
      <c r="R19" s="32" t="e">
        <f>IF(AND('2.Mapa final'!#REF!="Baja",'2.Mapa final'!#REF!="Mayor"),CONCATENATE("R2C",'2.Mapa final'!#REF!),"")</f>
        <v>#REF!</v>
      </c>
      <c r="S19" s="73" t="e">
        <f>IF(AND('2.Mapa final'!#REF!="Baja",'2.Mapa final'!#REF!="Mayor"),CONCATENATE("R2C",'2.Mapa final'!#REF!),"")</f>
        <v>#REF!</v>
      </c>
      <c r="T19" s="80" t="e">
        <f>IF(AND('2.Mapa final'!#REF!="Baja",'2.Mapa final'!#REF!="Catastrófico"),CONCATENATE("R2C",'2.Mapa final'!#REF!),"")</f>
        <v>#REF!</v>
      </c>
      <c r="U19" s="33" t="e">
        <f>IF(AND('2.Mapa final'!#REF!="Baja",'2.Mapa final'!#REF!="Catastrófico"),CONCATENATE("R2C",'2.Mapa final'!#REF!),"")</f>
        <v>#REF!</v>
      </c>
      <c r="V19" s="81" t="e">
        <f>IF(AND('2.Mapa final'!#REF!="Baja",'2.Mapa final'!#REF!="Catastrófico"),CONCATENATE("R2C",'2.Mapa final'!#REF!),"")</f>
        <v>#REF!</v>
      </c>
      <c r="W19" s="36"/>
      <c r="X19" s="961"/>
      <c r="Y19" s="962"/>
      <c r="Z19" s="962"/>
      <c r="AA19" s="962"/>
      <c r="AB19" s="962"/>
      <c r="AC19" s="963"/>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row>
    <row r="20" spans="1:63" ht="15" customHeight="1" x14ac:dyDescent="0.25">
      <c r="A20" s="36"/>
      <c r="B20" s="941"/>
      <c r="C20" s="941"/>
      <c r="D20" s="941"/>
      <c r="E20" s="949"/>
      <c r="F20" s="949"/>
      <c r="G20" s="949"/>
      <c r="H20" s="96" t="e">
        <f>IF(AND('2.Mapa final'!#REF!="Baja",'2.Mapa final'!#REF!="Leve"),CONCATENATE("R3C",'2.Mapa final'!#REF!),"")</f>
        <v>#REF!</v>
      </c>
      <c r="I20" s="35" t="e">
        <f>IF(AND('2.Mapa final'!#REF!="Baja",'2.Mapa final'!#REF!="Leve"),CONCATENATE("R3C",'2.Mapa final'!#REF!),"")</f>
        <v>#REF!</v>
      </c>
      <c r="J20" s="97" t="e">
        <f>IF(AND('2.Mapa final'!#REF!="Baja",'2.Mapa final'!#REF!="Leve"),CONCATENATE("R3C",'2.Mapa final'!#REF!),"")</f>
        <v>#REF!</v>
      </c>
      <c r="K20" s="88" t="e">
        <f>IF(AND('2.Mapa final'!#REF!="Baja",'2.Mapa final'!#REF!="Menor"),CONCATENATE("R3C",'2.Mapa final'!#REF!),"")</f>
        <v>#REF!</v>
      </c>
      <c r="L20" s="34" t="e">
        <f>IF(AND('2.Mapa final'!#REF!="Baja",'2.Mapa final'!#REF!="Menor"),CONCATENATE("R3C",'2.Mapa final'!#REF!),"")</f>
        <v>#REF!</v>
      </c>
      <c r="M20" s="89" t="e">
        <f>IF(AND('2.Mapa final'!#REF!="Baja",'2.Mapa final'!#REF!="Menor"),CONCATENATE("R3C",'2.Mapa final'!#REF!),"")</f>
        <v>#REF!</v>
      </c>
      <c r="N20" s="88" t="e">
        <f>IF(AND('2.Mapa final'!#REF!="Baja",'2.Mapa final'!#REF!="Moderado"),CONCATENATE("R3C",'2.Mapa final'!#REF!),"")</f>
        <v>#REF!</v>
      </c>
      <c r="O20" s="34" t="e">
        <f>IF(AND('2.Mapa final'!#REF!="Baja",'2.Mapa final'!#REF!="Moderado"),CONCATENATE("R3C",'2.Mapa final'!#REF!),"")</f>
        <v>#REF!</v>
      </c>
      <c r="P20" s="89" t="e">
        <f>IF(AND('2.Mapa final'!#REF!="Baja",'2.Mapa final'!#REF!="Moderado"),CONCATENATE("R3C",'2.Mapa final'!#REF!),"")</f>
        <v>#REF!</v>
      </c>
      <c r="Q20" s="72" t="e">
        <f>IF(AND('2.Mapa final'!#REF!="Baja",'2.Mapa final'!#REF!="Mayor"),CONCATENATE("R3C",'2.Mapa final'!#REF!),"")</f>
        <v>#REF!</v>
      </c>
      <c r="R20" s="32" t="e">
        <f>IF(AND('2.Mapa final'!#REF!="Baja",'2.Mapa final'!#REF!="Mayor"),CONCATENATE("R3C",'2.Mapa final'!#REF!),"")</f>
        <v>#REF!</v>
      </c>
      <c r="S20" s="73" t="e">
        <f>IF(AND('2.Mapa final'!#REF!="Baja",'2.Mapa final'!#REF!="Mayor"),CONCATENATE("R3C",'2.Mapa final'!#REF!),"")</f>
        <v>#REF!</v>
      </c>
      <c r="T20" s="80" t="e">
        <f>IF(AND('2.Mapa final'!#REF!="Baja",'2.Mapa final'!#REF!="Catastrófico"),CONCATENATE("R3C",'2.Mapa final'!#REF!),"")</f>
        <v>#REF!</v>
      </c>
      <c r="U20" s="33" t="e">
        <f>IF(AND('2.Mapa final'!#REF!="Baja",'2.Mapa final'!#REF!="Catastrófico"),CONCATENATE("R3C",'2.Mapa final'!#REF!),"")</f>
        <v>#REF!</v>
      </c>
      <c r="V20" s="81" t="e">
        <f>IF(AND('2.Mapa final'!#REF!="Baja",'2.Mapa final'!#REF!="Catastrófico"),CONCATENATE("R3C",'2.Mapa final'!#REF!),"")</f>
        <v>#REF!</v>
      </c>
      <c r="W20" s="36"/>
      <c r="X20" s="961"/>
      <c r="Y20" s="962"/>
      <c r="Z20" s="962"/>
      <c r="AA20" s="962"/>
      <c r="AB20" s="962"/>
      <c r="AC20" s="963"/>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row>
    <row r="21" spans="1:63" ht="15" customHeight="1" x14ac:dyDescent="0.25">
      <c r="A21" s="36"/>
      <c r="B21" s="941"/>
      <c r="C21" s="941"/>
      <c r="D21" s="941"/>
      <c r="E21" s="949"/>
      <c r="F21" s="949"/>
      <c r="G21" s="949"/>
      <c r="H21" s="98" t="e">
        <f>IF(AND('2.Mapa final'!#REF!="Baja",'2.Mapa final'!#REF!="Leve"),CONCATENATE("R4C",'2.Mapa final'!#REF!),"")</f>
        <v>#REF!</v>
      </c>
      <c r="I21" s="99" t="e">
        <f>IF(AND('2.Mapa final'!#REF!="Baja",'2.Mapa final'!#REF!="Leve"),CONCATENATE("R4C",'2.Mapa final'!#REF!),"")</f>
        <v>#REF!</v>
      </c>
      <c r="J21" s="100" t="e">
        <f>IF(AND('2.Mapa final'!#REF!="Baja",'2.Mapa final'!#REF!="Leve"),CONCATENATE("R4C",'2.Mapa final'!#REF!),"")</f>
        <v>#REF!</v>
      </c>
      <c r="K21" s="90" t="e">
        <f>IF(AND('2.Mapa final'!#REF!="Baja",'2.Mapa final'!#REF!="Menor"),CONCATENATE("R4C",'2.Mapa final'!#REF!),"")</f>
        <v>#REF!</v>
      </c>
      <c r="L21" s="91" t="e">
        <f>IF(AND('2.Mapa final'!#REF!="Baja",'2.Mapa final'!#REF!="Menor"),CONCATENATE("R4C",'2.Mapa final'!#REF!),"")</f>
        <v>#REF!</v>
      </c>
      <c r="M21" s="92" t="e">
        <f>IF(AND('2.Mapa final'!#REF!="Baja",'2.Mapa final'!#REF!="Menor"),CONCATENATE("R4C",'2.Mapa final'!#REF!),"")</f>
        <v>#REF!</v>
      </c>
      <c r="N21" s="90" t="e">
        <f>IF(AND('2.Mapa final'!#REF!="Baja",'2.Mapa final'!#REF!="Moderado"),CONCATENATE("R4C",'2.Mapa final'!#REF!),"")</f>
        <v>#REF!</v>
      </c>
      <c r="O21" s="91" t="e">
        <f>IF(AND('2.Mapa final'!#REF!="Baja",'2.Mapa final'!#REF!="Moderado"),CONCATENATE("R4C",'2.Mapa final'!#REF!),"")</f>
        <v>#REF!</v>
      </c>
      <c r="P21" s="92" t="e">
        <f>IF(AND('2.Mapa final'!#REF!="Baja",'2.Mapa final'!#REF!="Moderado"),CONCATENATE("R4C",'2.Mapa final'!#REF!),"")</f>
        <v>#REF!</v>
      </c>
      <c r="Q21" s="74" t="e">
        <f>IF(AND('2.Mapa final'!#REF!="Baja",'2.Mapa final'!#REF!="Mayor"),CONCATENATE("R4C",'2.Mapa final'!#REF!),"")</f>
        <v>#REF!</v>
      </c>
      <c r="R21" s="75" t="e">
        <f>IF(AND('2.Mapa final'!#REF!="Baja",'2.Mapa final'!#REF!="Mayor"),CONCATENATE("R4C",'2.Mapa final'!#REF!),"")</f>
        <v>#REF!</v>
      </c>
      <c r="S21" s="76" t="e">
        <f>IF(AND('2.Mapa final'!#REF!="Baja",'2.Mapa final'!#REF!="Mayor"),CONCATENATE("RC",'2.Mapa final'!#REF!),"")</f>
        <v>#REF!</v>
      </c>
      <c r="T21" s="82" t="e">
        <f>IF(AND('2.Mapa final'!#REF!="Baja",'2.Mapa final'!#REF!="Catastrófico"),CONCATENATE("R4C",'2.Mapa final'!#REF!),"")</f>
        <v>#REF!</v>
      </c>
      <c r="U21" s="83" t="e">
        <f>IF(AND('2.Mapa final'!#REF!="Baja",'2.Mapa final'!#REF!="Catastrófico"),CONCATENATE("R4C",'2.Mapa final'!#REF!),"")</f>
        <v>#REF!</v>
      </c>
      <c r="V21" s="84" t="e">
        <f>IF(AND('2.Mapa final'!#REF!="Baja",'2.Mapa final'!#REF!="Catastrófico"),CONCATENATE("R4C",'2.Mapa final'!#REF!),"")</f>
        <v>#REF!</v>
      </c>
      <c r="W21" s="36"/>
      <c r="X21" s="961"/>
      <c r="Y21" s="962"/>
      <c r="Z21" s="962"/>
      <c r="AA21" s="962"/>
      <c r="AB21" s="962"/>
      <c r="AC21" s="963"/>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row>
    <row r="22" spans="1:63" ht="20.25" customHeight="1" x14ac:dyDescent="0.35">
      <c r="A22" s="36"/>
      <c r="B22" s="941"/>
      <c r="C22" s="941"/>
      <c r="D22" s="941"/>
      <c r="E22" s="948" t="s">
        <v>99</v>
      </c>
      <c r="F22" s="949"/>
      <c r="G22" s="949"/>
      <c r="H22" s="93" t="str">
        <f>IF(AND('2.Mapa final'!$AE$19="Muy Baja",'2.Mapa final'!$AG$19="Leve"),CONCATENATE("R1C",'2.Mapa final'!$S$19),"")</f>
        <v/>
      </c>
      <c r="I22" s="94" t="e">
        <f>IF(AND('2.Mapa final'!#REF!="Muy Baja",'2.Mapa final'!#REF!="Leve"),CONCATENATE("R1C",'2.Mapa final'!#REF!),"")</f>
        <v>#REF!</v>
      </c>
      <c r="J22" s="95" t="str">
        <f>IF(AND('2.Mapa final'!$AE$51="Muy Baja",'2.Mapa final'!$AG$51="Leve"),CONCATENATE("R1C",'2.Mapa final'!$S$51),"")</f>
        <v/>
      </c>
      <c r="K22" s="93" t="str">
        <f>IF(AND('2.Mapa final'!$AE$19="Muy Baja",'2.Mapa final'!$AG$19="Menor"),CONCATENATE("R1C",'2.Mapa final'!$S$19),"")</f>
        <v/>
      </c>
      <c r="L22" s="94" t="e">
        <f>IF(AND('2.Mapa final'!#REF!="Muy Baja",'2.Mapa final'!#REF!="Menor"),CONCATENATE("R1C",'2.Mapa final'!#REF!),"")</f>
        <v>#REF!</v>
      </c>
      <c r="M22" s="95" t="str">
        <f>IF(AND('2.Mapa final'!$AE$51="Muy Baja",'2.Mapa final'!$AG$51="Menor"),CONCATENATE("R1C",'2.Mapa final'!$S$51),"")</f>
        <v/>
      </c>
      <c r="N22" s="85" t="str">
        <f>IF(AND('2.Mapa final'!$AE$19="Muy Baja",'2.Mapa final'!$AG$19="Moderado"),CONCATENATE("R1C",'2.Mapa final'!$S$19),"")</f>
        <v/>
      </c>
      <c r="O22" s="101" t="e">
        <f>IF(AND('2.Mapa final'!#REF!="Muy Baja",'2.Mapa final'!#REF!="Moderado"),CONCATENATE("R1C",'2.Mapa final'!#REF!),"")</f>
        <v>#REF!</v>
      </c>
      <c r="P22" s="87" t="str">
        <f>IF(AND('2.Mapa final'!$AE$51="Muy Baja",'2.Mapa final'!$AG$51="Moderado"),CONCATENATE("R1C",'2.Mapa final'!$S$51),"")</f>
        <v/>
      </c>
      <c r="Q22" s="32" t="str">
        <f>IF(AND('2.Mapa final'!$AE$19="Muy Baja",'2.Mapa final'!$AG$19="Mayor"),CONCATENATE("R1C",'2.Mapa final'!$S$19),"")</f>
        <v/>
      </c>
      <c r="R22" s="32" t="e">
        <f>IF(AND('2.Mapa final'!#REF!="Muy Baja",'2.Mapa final'!#REF!="Mayor"),CONCATENATE("R1C",'2.Mapa final'!#REF!),"")</f>
        <v>#REF!</v>
      </c>
      <c r="S22" s="32" t="str">
        <f>IF(AND('2.Mapa final'!$AE$51="Muy Baja",'2.Mapa final'!$AG$51="Mayor"),CONCATENATE("R1C",'2.Mapa final'!$S$51),"")</f>
        <v/>
      </c>
      <c r="T22" s="77" t="str">
        <f>IF(AND('2.Mapa final'!$AE$19="Muy Baja",'2.Mapa final'!$AG$19="Catastrófico"),CONCATENATE("R1C",'2.Mapa final'!$S$19),"")</f>
        <v/>
      </c>
      <c r="U22" s="78" t="e">
        <f>IF(AND('2.Mapa final'!#REF!="Muy Baja",'2.Mapa final'!#REF!="Catastrófico"),CONCATENATE("R1C",'2.Mapa final'!#REF!),"")</f>
        <v>#REF!</v>
      </c>
      <c r="V22" s="79" t="str">
        <f>IF(AND('2.Mapa final'!$AE$51="Muy Baja",'2.Mapa final'!$AG$51="Catastrófico"),CONCATENATE("R1C",'2.Mapa final'!$S$51),"")</f>
        <v/>
      </c>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row>
    <row r="23" spans="1:63" ht="16.5" customHeight="1" x14ac:dyDescent="0.25">
      <c r="A23" s="36"/>
      <c r="B23" s="941"/>
      <c r="C23" s="941"/>
      <c r="D23" s="941"/>
      <c r="E23" s="948"/>
      <c r="F23" s="949"/>
      <c r="G23" s="949"/>
      <c r="H23" s="96" t="e">
        <f>IF(AND('2.Mapa final'!#REF!="Muy Baja",'2.Mapa final'!#REF!="Leve"),CONCATENATE("R2C",'2.Mapa final'!#REF!),"")</f>
        <v>#REF!</v>
      </c>
      <c r="I23" s="35" t="e">
        <f>IF(AND('2.Mapa final'!#REF!="Muy Baja",'2.Mapa final'!#REF!="Leve"),CONCATENATE("R2C",'2.Mapa final'!#REF!),"")</f>
        <v>#REF!</v>
      </c>
      <c r="J23" s="97" t="e">
        <f>IF(AND('2.Mapa final'!#REF!="Muy Baja",'2.Mapa final'!#REF!="Leve"),CONCATENATE("R2C",'2.Mapa final'!#REF!),"")</f>
        <v>#REF!</v>
      </c>
      <c r="K23" s="96" t="e">
        <f>IF(AND('2.Mapa final'!#REF!="Muy Baja",'2.Mapa final'!#REF!="Menor"),CONCATENATE("R2C",'2.Mapa final'!#REF!),"")</f>
        <v>#REF!</v>
      </c>
      <c r="L23" s="35" t="e">
        <f>IF(AND('2.Mapa final'!#REF!="Muy Baja",'2.Mapa final'!#REF!="Menor"),CONCATENATE("R2C",'2.Mapa final'!#REF!),"")</f>
        <v>#REF!</v>
      </c>
      <c r="M23" s="97" t="e">
        <f>IF(AND('2.Mapa final'!#REF!="Muy Baja",'2.Mapa final'!#REF!="Menor"),CONCATENATE("R2C",'2.Mapa final'!#REF!),"")</f>
        <v>#REF!</v>
      </c>
      <c r="N23" s="88" t="e">
        <f>IF(AND('2.Mapa final'!#REF!="Muy Baja",'2.Mapa final'!#REF!="Moderado"),CONCATENATE("R2C",'2.Mapa final'!#REF!),"")</f>
        <v>#REF!</v>
      </c>
      <c r="O23" s="34" t="e">
        <f>IF(AND('2.Mapa final'!#REF!="Muy Baja",'2.Mapa final'!#REF!="Moderado"),CONCATENATE("R2C",'2.Mapa final'!#REF!),"")</f>
        <v>#REF!</v>
      </c>
      <c r="P23" s="89" t="e">
        <f>IF(AND('2.Mapa final'!#REF!="Muy Baja",'2.Mapa final'!#REF!="Moderado"),CONCATENATE("R2C",'2.Mapa final'!#REF!),"")</f>
        <v>#REF!</v>
      </c>
      <c r="Q23" s="32" t="e">
        <f>IF(AND('2.Mapa final'!#REF!="Muy Baja",'2.Mapa final'!#REF!="Mayor"),CONCATENATE("R2C",'2.Mapa final'!#REF!),"")</f>
        <v>#REF!</v>
      </c>
      <c r="R23" s="32" t="e">
        <f>IF(AND('2.Mapa final'!#REF!="Muy Baja",'2.Mapa final'!#REF!="Mayor"),CONCATENATE("R2C",'2.Mapa final'!#REF!),"")</f>
        <v>#REF!</v>
      </c>
      <c r="S23" s="32" t="e">
        <f>IF(AND('2.Mapa final'!#REF!="Muy Baja",'2.Mapa final'!#REF!="Mayor"),CONCATENATE("R2C",'2.Mapa final'!#REF!),"")</f>
        <v>#REF!</v>
      </c>
      <c r="T23" s="80" t="e">
        <f>IF(AND('2.Mapa final'!#REF!="Muy Baja",'2.Mapa final'!#REF!="Catastrófico"),CONCATENATE("R2C",'2.Mapa final'!#REF!),"")</f>
        <v>#REF!</v>
      </c>
      <c r="U23" s="33" t="e">
        <f>IF(AND('2.Mapa final'!#REF!="Muy Baja",'2.Mapa final'!#REF!="Catastrófico"),CONCATENATE("R2C",'2.Mapa final'!#REF!),"")</f>
        <v>#REF!</v>
      </c>
      <c r="V23" s="81" t="e">
        <f>IF(AND('2.Mapa final'!#REF!="Muy Baja",'2.Mapa final'!#REF!="Catastrófico"),CONCATENATE("R2C",'2.Mapa final'!#REF!),"")</f>
        <v>#REF!</v>
      </c>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row>
    <row r="24" spans="1:63" ht="15" customHeight="1" x14ac:dyDescent="0.25">
      <c r="A24" s="36"/>
      <c r="B24" s="941"/>
      <c r="C24" s="941"/>
      <c r="D24" s="941"/>
      <c r="E24" s="948"/>
      <c r="F24" s="949"/>
      <c r="G24" s="949"/>
      <c r="H24" s="96" t="e">
        <f>IF(AND('2.Mapa final'!#REF!="Muy Baja",'2.Mapa final'!#REF!="Leve"),CONCATENATE("R3C",'2.Mapa final'!#REF!),"")</f>
        <v>#REF!</v>
      </c>
      <c r="I24" s="35" t="e">
        <f>IF(AND('2.Mapa final'!#REF!="Muy Baja",'2.Mapa final'!#REF!="Leve"),CONCATENATE("R3C",'2.Mapa final'!#REF!),"")</f>
        <v>#REF!</v>
      </c>
      <c r="J24" s="97" t="e">
        <f>IF(AND('2.Mapa final'!#REF!="Muy Baja",'2.Mapa final'!#REF!="Leve"),CONCATENATE("R3C",'2.Mapa final'!#REF!),"")</f>
        <v>#REF!</v>
      </c>
      <c r="K24" s="96" t="e">
        <f>IF(AND('2.Mapa final'!#REF!="Muy Baja",'2.Mapa final'!#REF!="Menor"),CONCATENATE("R3C",'2.Mapa final'!#REF!),"")</f>
        <v>#REF!</v>
      </c>
      <c r="L24" s="35" t="e">
        <f>IF(AND('2.Mapa final'!#REF!="Muy Baja",'2.Mapa final'!#REF!="Menor"),CONCATENATE("R3C",'2.Mapa final'!#REF!),"")</f>
        <v>#REF!</v>
      </c>
      <c r="M24" s="97" t="e">
        <f>IF(AND('2.Mapa final'!#REF!="Muy Baja",'2.Mapa final'!#REF!="Menor"),CONCATENATE("R3C",'2.Mapa final'!#REF!),"")</f>
        <v>#REF!</v>
      </c>
      <c r="N24" s="88" t="e">
        <f>IF(AND('2.Mapa final'!#REF!="Muy Baja",'2.Mapa final'!#REF!="Moderado"),CONCATENATE("R3C",'2.Mapa final'!#REF!),"")</f>
        <v>#REF!</v>
      </c>
      <c r="O24" s="34" t="e">
        <f>IF(AND('2.Mapa final'!#REF!="Muy Baja",'2.Mapa final'!#REF!="Moderado"),CONCATENATE("R3C",'2.Mapa final'!#REF!),"")</f>
        <v>#REF!</v>
      </c>
      <c r="P24" s="89" t="e">
        <f>IF(AND('2.Mapa final'!#REF!="Muy Baja",'2.Mapa final'!#REF!="Moderado"),CONCATENATE("R3C",'2.Mapa final'!#REF!),"")</f>
        <v>#REF!</v>
      </c>
      <c r="Q24" s="32" t="e">
        <f>IF(AND('2.Mapa final'!#REF!="Muy Baja",'2.Mapa final'!#REF!="Mayor"),CONCATENATE("R3C",'2.Mapa final'!#REF!),"")</f>
        <v>#REF!</v>
      </c>
      <c r="R24" s="32" t="e">
        <f>IF(AND('2.Mapa final'!#REF!="Muy Baja",'2.Mapa final'!#REF!="Mayor"),CONCATENATE("R3C",'2.Mapa final'!#REF!),"")</f>
        <v>#REF!</v>
      </c>
      <c r="S24" s="32" t="e">
        <f>IF(AND('2.Mapa final'!#REF!="Muy Baja",'2.Mapa final'!#REF!="Mayor"),CONCATENATE("R3C",'2.Mapa final'!#REF!),"")</f>
        <v>#REF!</v>
      </c>
      <c r="T24" s="80" t="e">
        <f>IF(AND('2.Mapa final'!#REF!="Muy Baja",'2.Mapa final'!#REF!="Catastrófico"),CONCATENATE("R3C",'2.Mapa final'!#REF!),"")</f>
        <v>#REF!</v>
      </c>
      <c r="U24" s="33" t="e">
        <f>IF(AND('2.Mapa final'!#REF!="Muy Baja",'2.Mapa final'!#REF!="Catastrófico"),CONCATENATE("R3C",'2.Mapa final'!#REF!),"")</f>
        <v>#REF!</v>
      </c>
      <c r="V24" s="81" t="e">
        <f>IF(AND('2.Mapa final'!#REF!="Muy Baja",'2.Mapa final'!#REF!="Catastrófico"),CONCATENATE("R3C",'2.Mapa final'!#REF!),"")</f>
        <v>#REF!</v>
      </c>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row>
    <row r="25" spans="1:63" ht="15" customHeight="1" x14ac:dyDescent="0.25">
      <c r="A25" s="36"/>
      <c r="B25" s="941"/>
      <c r="C25" s="941"/>
      <c r="D25" s="941"/>
      <c r="E25" s="949"/>
      <c r="F25" s="949"/>
      <c r="G25" s="949"/>
      <c r="H25" s="98" t="e">
        <f>IF(AND('2.Mapa final'!#REF!="Muy Baja",'2.Mapa final'!#REF!="Leve"),CONCATENATE("R4C",'2.Mapa final'!#REF!),"")</f>
        <v>#REF!</v>
      </c>
      <c r="I25" s="99" t="e">
        <f>IF(AND('2.Mapa final'!#REF!="Muy Baja",'2.Mapa final'!#REF!="Leve"),CONCATENATE("R4C",'2.Mapa final'!#REF!),"")</f>
        <v>#REF!</v>
      </c>
      <c r="J25" s="100" t="e">
        <f>IF(AND('2.Mapa final'!#REF!="Muy Baja",'2.Mapa final'!#REF!="Leve"),CONCATENATE("R4C",'2.Mapa final'!#REF!),"")</f>
        <v>#REF!</v>
      </c>
      <c r="K25" s="98" t="e">
        <f>IF(AND('2.Mapa final'!#REF!="Muy Baja",'2.Mapa final'!#REF!="Menor"),CONCATENATE("R4C",'2.Mapa final'!#REF!),"")</f>
        <v>#REF!</v>
      </c>
      <c r="L25" s="99" t="e">
        <f>IF(AND('2.Mapa final'!#REF!="Muy Baja",'2.Mapa final'!#REF!="Menor"),CONCATENATE("R4C",'2.Mapa final'!#REF!),"")</f>
        <v>#REF!</v>
      </c>
      <c r="M25" s="100" t="e">
        <f>IF(AND('2.Mapa final'!#REF!="Muy Baja",'2.Mapa final'!#REF!="Menor"),CONCATENATE("R4C",'2.Mapa final'!#REF!),"")</f>
        <v>#REF!</v>
      </c>
      <c r="N25" s="90" t="e">
        <f>IF(AND('2.Mapa final'!#REF!="Muy Baja",'2.Mapa final'!#REF!="Moderado"),CONCATENATE("R4C",'2.Mapa final'!#REF!),"")</f>
        <v>#REF!</v>
      </c>
      <c r="O25" s="91" t="e">
        <f>IF(AND('2.Mapa final'!#REF!="Muy Baja",'2.Mapa final'!#REF!="Moderado"),CONCATENATE("R4C",'2.Mapa final'!#REF!),"")</f>
        <v>#REF!</v>
      </c>
      <c r="P25" s="92" t="e">
        <f>IF(AND('2.Mapa final'!#REF!="Muy Baja",'2.Mapa final'!#REF!="Moderado"),CONCATENATE("RC",'2.Mapa final'!#REF!),"")</f>
        <v>#REF!</v>
      </c>
      <c r="Q25" s="32" t="e">
        <f>IF(AND('2.Mapa final'!#REF!="Muy Baja",'2.Mapa final'!#REF!="Mayor"),CONCATENATE("R4C",'2.Mapa final'!#REF!),"")</f>
        <v>#REF!</v>
      </c>
      <c r="R25" s="32" t="e">
        <f>IF(AND('2.Mapa final'!#REF!="Muy Baja",'2.Mapa final'!#REF!="Mayor"),CONCATENATE("R4C",'2.Mapa final'!#REF!),"")</f>
        <v>#REF!</v>
      </c>
      <c r="S25" s="32" t="e">
        <f>IF(AND('2.Mapa final'!#REF!="Muy Baja",'2.Mapa final'!#REF!="Mayor"),CONCATENATE("R4C",'2.Mapa final'!#REF!),"")</f>
        <v>#REF!</v>
      </c>
      <c r="T25" s="82" t="e">
        <f>IF(AND('2.Mapa final'!#REF!="Muy Baja",'2.Mapa final'!#REF!="Catastrófico"),CONCATENATE("R4C",'2.Mapa final'!#REF!),"")</f>
        <v>#REF!</v>
      </c>
      <c r="U25" s="83" t="e">
        <f>IF(AND('2.Mapa final'!#REF!="Muy Baja",'2.Mapa final'!#REF!="Catastrófico"),CONCATENATE("R4C",'2.Mapa final'!#REF!),"")</f>
        <v>#REF!</v>
      </c>
      <c r="V25" s="84" t="e">
        <f>IF(AND('2.Mapa final'!#REF!="Muy Baja",'2.Mapa final'!#REF!="Catastrófico"),CONCATENATE("R4C",'2.Mapa final'!#REF!),"")</f>
        <v>#REF!</v>
      </c>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row>
    <row r="26" spans="1:63" x14ac:dyDescent="0.25">
      <c r="A26" s="36"/>
      <c r="B26" s="36"/>
      <c r="C26" s="36"/>
      <c r="D26" s="36"/>
      <c r="E26" s="36"/>
      <c r="F26" s="36"/>
      <c r="G26" s="36"/>
      <c r="H26" s="948" t="s">
        <v>98</v>
      </c>
      <c r="I26" s="949"/>
      <c r="J26" s="949"/>
      <c r="K26" s="948" t="s">
        <v>97</v>
      </c>
      <c r="L26" s="949"/>
      <c r="M26" s="949"/>
      <c r="N26" s="948" t="s">
        <v>96</v>
      </c>
      <c r="O26" s="949"/>
      <c r="P26" s="949"/>
      <c r="Q26" s="948" t="s">
        <v>95</v>
      </c>
      <c r="R26" s="948"/>
      <c r="S26" s="949"/>
      <c r="T26" s="948" t="s">
        <v>94</v>
      </c>
      <c r="U26" s="949"/>
      <c r="V26" s="949"/>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row>
    <row r="27" spans="1:63" x14ac:dyDescent="0.25">
      <c r="A27" s="36"/>
      <c r="B27" s="36"/>
      <c r="C27" s="36"/>
      <c r="D27" s="36"/>
      <c r="E27" s="36"/>
      <c r="F27" s="36"/>
      <c r="G27" s="36"/>
      <c r="H27" s="949"/>
      <c r="I27" s="949"/>
      <c r="J27" s="949"/>
      <c r="K27" s="949"/>
      <c r="L27" s="949"/>
      <c r="M27" s="949"/>
      <c r="N27" s="949"/>
      <c r="O27" s="949"/>
      <c r="P27" s="949"/>
      <c r="Q27" s="949"/>
      <c r="R27" s="949"/>
      <c r="S27" s="949"/>
      <c r="T27" s="949"/>
      <c r="U27" s="949"/>
      <c r="V27" s="949"/>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row>
    <row r="28" spans="1:63" x14ac:dyDescent="0.25">
      <c r="A28" s="36"/>
      <c r="B28" s="36"/>
      <c r="C28" s="36"/>
      <c r="D28" s="36"/>
      <c r="E28" s="36"/>
      <c r="F28" s="36"/>
      <c r="G28" s="36"/>
      <c r="H28" s="949"/>
      <c r="I28" s="949"/>
      <c r="J28" s="949"/>
      <c r="K28" s="949"/>
      <c r="L28" s="949"/>
      <c r="M28" s="949"/>
      <c r="N28" s="949"/>
      <c r="O28" s="949"/>
      <c r="P28" s="949"/>
      <c r="Q28" s="949"/>
      <c r="R28" s="949"/>
      <c r="S28" s="949"/>
      <c r="T28" s="949"/>
      <c r="U28" s="949"/>
      <c r="V28" s="949"/>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row>
    <row r="29" spans="1:63" x14ac:dyDescent="0.25">
      <c r="A29" s="36"/>
      <c r="B29" s="36"/>
      <c r="C29" s="36"/>
      <c r="D29" s="36"/>
      <c r="E29" s="36"/>
      <c r="F29" s="36"/>
      <c r="G29" s="36"/>
      <c r="H29" s="949"/>
      <c r="I29" s="949"/>
      <c r="J29" s="949"/>
      <c r="K29" s="949"/>
      <c r="L29" s="949"/>
      <c r="M29" s="949"/>
      <c r="N29" s="949"/>
      <c r="O29" s="949"/>
      <c r="P29" s="949"/>
      <c r="Q29" s="949"/>
      <c r="R29" s="949"/>
      <c r="S29" s="949"/>
      <c r="T29" s="949"/>
      <c r="U29" s="949"/>
      <c r="V29" s="949"/>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row>
    <row r="30" spans="1:63" x14ac:dyDescent="0.25">
      <c r="A30" s="36"/>
      <c r="B30" s="36"/>
      <c r="C30" s="36"/>
      <c r="D30" s="36"/>
      <c r="E30" s="36"/>
      <c r="F30" s="36"/>
      <c r="G30" s="36"/>
      <c r="H30" s="949"/>
      <c r="I30" s="949"/>
      <c r="J30" s="949"/>
      <c r="K30" s="949"/>
      <c r="L30" s="949"/>
      <c r="M30" s="949"/>
      <c r="N30" s="949"/>
      <c r="O30" s="949"/>
      <c r="P30" s="949"/>
      <c r="Q30" s="949"/>
      <c r="R30" s="949"/>
      <c r="S30" s="949"/>
      <c r="T30" s="949"/>
      <c r="U30" s="949"/>
      <c r="V30" s="949"/>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row>
    <row r="31" spans="1:63"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row>
    <row r="32" spans="1:63" ht="15" customHeight="1" x14ac:dyDescent="0.25">
      <c r="A32" s="36"/>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36"/>
      <c r="AE32" s="36"/>
      <c r="AF32" s="36"/>
      <c r="AG32" s="36"/>
      <c r="AH32" s="36"/>
      <c r="AI32" s="36"/>
      <c r="AJ32" s="36"/>
      <c r="AK32" s="36"/>
      <c r="AL32" s="36"/>
      <c r="AM32" s="36"/>
      <c r="AN32" s="36"/>
      <c r="AO32" s="36"/>
      <c r="AP32" s="36"/>
      <c r="AQ32" s="36"/>
    </row>
    <row r="33" spans="1:43" ht="15" customHeight="1" x14ac:dyDescent="0.25">
      <c r="A33" s="36"/>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36"/>
      <c r="AE33" s="36"/>
      <c r="AF33" s="36"/>
      <c r="AG33" s="36"/>
      <c r="AH33" s="36"/>
      <c r="AI33" s="36"/>
      <c r="AJ33" s="36"/>
      <c r="AK33" s="36"/>
      <c r="AL33" s="36"/>
      <c r="AM33" s="36"/>
      <c r="AN33" s="36"/>
      <c r="AO33" s="36"/>
      <c r="AP33" s="36"/>
      <c r="AQ33" s="36"/>
    </row>
    <row r="34" spans="1:43"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row>
    <row r="35" spans="1:43"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row>
    <row r="36" spans="1:43"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row>
    <row r="37" spans="1:43"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row>
    <row r="38" spans="1:43"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row>
    <row r="39" spans="1:43"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row>
    <row r="40" spans="1:43"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row>
    <row r="41" spans="1:43"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row>
    <row r="42" spans="1:43"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row>
    <row r="43" spans="1:43"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row>
    <row r="44" spans="1:43"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row>
    <row r="45" spans="1:43" x14ac:dyDescent="0.2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row>
    <row r="46" spans="1:43" x14ac:dyDescent="0.25">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row>
    <row r="47" spans="1:43" x14ac:dyDescent="0.2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row>
    <row r="48" spans="1:43" x14ac:dyDescent="0.2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row>
    <row r="49" spans="1:43" x14ac:dyDescent="0.2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row>
    <row r="50" spans="1:43" x14ac:dyDescent="0.25">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row>
    <row r="51" spans="1:43" x14ac:dyDescent="0.25">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row>
    <row r="52" spans="1:43" x14ac:dyDescent="0.2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row>
    <row r="53" spans="1:43" x14ac:dyDescent="0.25">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row>
    <row r="54" spans="1:43" x14ac:dyDescent="0.25">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row>
    <row r="55" spans="1:43" x14ac:dyDescent="0.2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row>
    <row r="56" spans="1:43" x14ac:dyDescent="0.2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row>
    <row r="57" spans="1:43" x14ac:dyDescent="0.2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row>
    <row r="58" spans="1:43" x14ac:dyDescent="0.25">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row>
    <row r="59" spans="1:43" x14ac:dyDescent="0.25">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row>
    <row r="60" spans="1:43" x14ac:dyDescent="0.25">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row>
    <row r="61" spans="1:43" x14ac:dyDescent="0.25">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row>
    <row r="62" spans="1:43" x14ac:dyDescent="0.25">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row>
    <row r="63" spans="1:43" x14ac:dyDescent="0.25">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row>
    <row r="64" spans="1:43" x14ac:dyDescent="0.25">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row>
    <row r="65" spans="1:43" x14ac:dyDescent="0.2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row>
    <row r="66" spans="1:43" x14ac:dyDescent="0.25">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row>
    <row r="67" spans="1:43" x14ac:dyDescent="0.25">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row>
    <row r="68" spans="1:43" x14ac:dyDescent="0.25">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row>
    <row r="69" spans="1:43" x14ac:dyDescent="0.25">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row>
    <row r="70" spans="1:43" x14ac:dyDescent="0.25">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row>
    <row r="71" spans="1:43" x14ac:dyDescent="0.25">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row>
    <row r="72" spans="1:43" x14ac:dyDescent="0.2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row>
    <row r="73" spans="1:43" x14ac:dyDescent="0.25">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row>
    <row r="74" spans="1:43" x14ac:dyDescent="0.25">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row>
    <row r="75" spans="1:43" x14ac:dyDescent="0.2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row>
    <row r="76" spans="1:43" x14ac:dyDescent="0.25">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row>
    <row r="77" spans="1:43" x14ac:dyDescent="0.25">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row>
    <row r="78" spans="1:43" x14ac:dyDescent="0.25">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row>
    <row r="79" spans="1:43" x14ac:dyDescent="0.25">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row>
    <row r="80" spans="1:43" x14ac:dyDescent="0.25">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row>
    <row r="81" spans="1:43" x14ac:dyDescent="0.25">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row>
    <row r="82" spans="1:43" x14ac:dyDescent="0.25">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row>
    <row r="83" spans="1:43" x14ac:dyDescent="0.25">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row>
    <row r="84" spans="1:43" x14ac:dyDescent="0.25">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row>
    <row r="85" spans="1:43" x14ac:dyDescent="0.2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row>
    <row r="86" spans="1:43" x14ac:dyDescent="0.25">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row>
    <row r="87" spans="1:43" x14ac:dyDescent="0.25">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row>
    <row r="88" spans="1:43" x14ac:dyDescent="0.25">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row>
    <row r="89" spans="1:43" x14ac:dyDescent="0.25">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row>
    <row r="90" spans="1:43" x14ac:dyDescent="0.25">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row>
    <row r="91" spans="1:43" x14ac:dyDescent="0.2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row>
    <row r="92" spans="1:43" x14ac:dyDescent="0.2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row>
    <row r="93" spans="1:43" x14ac:dyDescent="0.25">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row>
    <row r="94" spans="1:43" x14ac:dyDescent="0.25">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row>
    <row r="95" spans="1:43" x14ac:dyDescent="0.2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row>
    <row r="96" spans="1:43" x14ac:dyDescent="0.25">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row>
    <row r="97" spans="1:43" x14ac:dyDescent="0.25">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row>
    <row r="98" spans="1:43" x14ac:dyDescent="0.25">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row>
    <row r="99" spans="1:43" x14ac:dyDescent="0.25">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row>
    <row r="100" spans="1:43" x14ac:dyDescent="0.25">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row>
    <row r="101" spans="1:43" x14ac:dyDescent="0.25">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row>
    <row r="102" spans="1:43" x14ac:dyDescent="0.25">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row>
    <row r="103" spans="1:43" x14ac:dyDescent="0.25">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row>
    <row r="104" spans="1:43" x14ac:dyDescent="0.25">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row>
    <row r="105" spans="1:43" x14ac:dyDescent="0.2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row>
    <row r="106" spans="1:43" x14ac:dyDescent="0.25">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row>
    <row r="107" spans="1:43" x14ac:dyDescent="0.25">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row>
    <row r="108" spans="1:43" x14ac:dyDescent="0.25">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row>
    <row r="109" spans="1:43" x14ac:dyDescent="0.25">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row>
    <row r="110" spans="1:43" x14ac:dyDescent="0.25">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row>
    <row r="111" spans="1:43" x14ac:dyDescent="0.2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row>
    <row r="112" spans="1:43" x14ac:dyDescent="0.25">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row>
    <row r="113" spans="1:43" x14ac:dyDescent="0.25">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row>
    <row r="114" spans="1:43" x14ac:dyDescent="0.25">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row>
    <row r="115" spans="1:43" x14ac:dyDescent="0.2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row>
    <row r="116" spans="1:43" x14ac:dyDescent="0.25">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row>
    <row r="117" spans="1:43" x14ac:dyDescent="0.25">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row>
    <row r="118" spans="1:43" x14ac:dyDescent="0.25">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row>
    <row r="119" spans="1:43" x14ac:dyDescent="0.25">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row>
    <row r="120" spans="1:43" x14ac:dyDescent="0.25">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row>
    <row r="121" spans="1:43" x14ac:dyDescent="0.25">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row>
    <row r="122" spans="1:43" x14ac:dyDescent="0.25">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row>
    <row r="123" spans="1:43" x14ac:dyDescent="0.25">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row>
    <row r="124" spans="1:43" x14ac:dyDescent="0.25">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row>
    <row r="125" spans="1:43" x14ac:dyDescent="0.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row>
    <row r="126" spans="1:43" x14ac:dyDescent="0.25">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row>
    <row r="127" spans="1:43" x14ac:dyDescent="0.25">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row>
    <row r="128" spans="1:43" x14ac:dyDescent="0.25">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row>
    <row r="129" spans="1:43" x14ac:dyDescent="0.25">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row>
    <row r="130" spans="1:43" x14ac:dyDescent="0.25">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row>
    <row r="131" spans="1:43" x14ac:dyDescent="0.25">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row>
    <row r="132" spans="1:43" x14ac:dyDescent="0.25">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row>
    <row r="133" spans="1:43" x14ac:dyDescent="0.25">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row>
    <row r="134" spans="1:43" x14ac:dyDescent="0.25">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row>
    <row r="135" spans="1:43" x14ac:dyDescent="0.2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row>
    <row r="136" spans="1:43" x14ac:dyDescent="0.25">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row>
    <row r="137" spans="1:43" x14ac:dyDescent="0.25">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row>
    <row r="138" spans="1:43" x14ac:dyDescent="0.25">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row>
    <row r="139" spans="1:43" x14ac:dyDescent="0.25">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row>
    <row r="140" spans="1:43" x14ac:dyDescent="0.25">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row>
    <row r="141" spans="1:43" x14ac:dyDescent="0.25">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row>
    <row r="142" spans="1:43" x14ac:dyDescent="0.25">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row>
    <row r="143" spans="1:43" x14ac:dyDescent="0.25">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row>
    <row r="144" spans="1:43" x14ac:dyDescent="0.25">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row>
    <row r="145" spans="1:43" x14ac:dyDescent="0.2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row>
    <row r="146" spans="1:43" x14ac:dyDescent="0.25">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row>
    <row r="147" spans="1:43" x14ac:dyDescent="0.25">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row>
    <row r="148" spans="1:43" x14ac:dyDescent="0.25">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row>
    <row r="149" spans="1:43" x14ac:dyDescent="0.25">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row>
    <row r="150" spans="1:43" x14ac:dyDescent="0.25">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row>
    <row r="151" spans="1:43" x14ac:dyDescent="0.25">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row>
    <row r="152" spans="1:43" x14ac:dyDescent="0.25">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row>
    <row r="153" spans="1:43" x14ac:dyDescent="0.25">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row>
    <row r="154" spans="1:43" x14ac:dyDescent="0.25">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row>
    <row r="155" spans="1:43" x14ac:dyDescent="0.2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row>
    <row r="156" spans="1:43" x14ac:dyDescent="0.25">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row>
    <row r="157" spans="1:43" x14ac:dyDescent="0.25">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row>
    <row r="158" spans="1:43" x14ac:dyDescent="0.25">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row>
    <row r="159" spans="1:43" x14ac:dyDescent="0.25">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row>
    <row r="160" spans="1:43" x14ac:dyDescent="0.25">
      <c r="A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row>
    <row r="161" spans="1:43" x14ac:dyDescent="0.25">
      <c r="A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row>
    <row r="162" spans="1:43" x14ac:dyDescent="0.25">
      <c r="A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row>
    <row r="163" spans="1:43" x14ac:dyDescent="0.25">
      <c r="A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row>
    <row r="164" spans="1:43" x14ac:dyDescent="0.25">
      <c r="A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row>
    <row r="165" spans="1:43" x14ac:dyDescent="0.25">
      <c r="A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row>
    <row r="166" spans="1:43" x14ac:dyDescent="0.25">
      <c r="A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row>
    <row r="167" spans="1:43" x14ac:dyDescent="0.25">
      <c r="A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row>
    <row r="168" spans="1:43" x14ac:dyDescent="0.25">
      <c r="A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row>
    <row r="169" spans="1:43" x14ac:dyDescent="0.25">
      <c r="A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row>
    <row r="170" spans="1:43" x14ac:dyDescent="0.25">
      <c r="A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row>
    <row r="171" spans="1:43" x14ac:dyDescent="0.25">
      <c r="A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row>
    <row r="172" spans="1:43" x14ac:dyDescent="0.25">
      <c r="A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row>
    <row r="173" spans="1:43" x14ac:dyDescent="0.25">
      <c r="A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row>
    <row r="174" spans="1:43" x14ac:dyDescent="0.25">
      <c r="A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row>
    <row r="175" spans="1:43" x14ac:dyDescent="0.25">
      <c r="A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row>
    <row r="176" spans="1:43" x14ac:dyDescent="0.25">
      <c r="A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row>
    <row r="177" spans="1:43" x14ac:dyDescent="0.25">
      <c r="A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row>
    <row r="178" spans="1:43" x14ac:dyDescent="0.25">
      <c r="A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row>
    <row r="179" spans="1:43" x14ac:dyDescent="0.25">
      <c r="A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row>
    <row r="180" spans="1:43" x14ac:dyDescent="0.25">
      <c r="A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row>
    <row r="181" spans="1:43" x14ac:dyDescent="0.25">
      <c r="A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row>
    <row r="182" spans="1:43" x14ac:dyDescent="0.25">
      <c r="A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row>
    <row r="183" spans="1:43" x14ac:dyDescent="0.25">
      <c r="A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row>
    <row r="184" spans="1:43" x14ac:dyDescent="0.25">
      <c r="A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row>
    <row r="185" spans="1:43" x14ac:dyDescent="0.25">
      <c r="A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row>
    <row r="186" spans="1:43" x14ac:dyDescent="0.25">
      <c r="A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row>
    <row r="187" spans="1:43" x14ac:dyDescent="0.25">
      <c r="A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row>
    <row r="188" spans="1:43" x14ac:dyDescent="0.25">
      <c r="A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row>
    <row r="189" spans="1:43" x14ac:dyDescent="0.25">
      <c r="A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row>
    <row r="190" spans="1:43" x14ac:dyDescent="0.25">
      <c r="A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row>
    <row r="191" spans="1:43" x14ac:dyDescent="0.25">
      <c r="A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row>
    <row r="192" spans="1:43" x14ac:dyDescent="0.25">
      <c r="A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row>
    <row r="193" spans="1:43" x14ac:dyDescent="0.25">
      <c r="A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row>
    <row r="194" spans="1:43" x14ac:dyDescent="0.25">
      <c r="A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row>
    <row r="195" spans="1:43" x14ac:dyDescent="0.25">
      <c r="A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row>
    <row r="196" spans="1:43" x14ac:dyDescent="0.25">
      <c r="A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row>
    <row r="197" spans="1:43" x14ac:dyDescent="0.25">
      <c r="A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row>
    <row r="198" spans="1:43" x14ac:dyDescent="0.25">
      <c r="A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row>
    <row r="199" spans="1:43" x14ac:dyDescent="0.25">
      <c r="A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row>
    <row r="200" spans="1:43" x14ac:dyDescent="0.25">
      <c r="A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row>
    <row r="201" spans="1:43" x14ac:dyDescent="0.25">
      <c r="A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row>
    <row r="202" spans="1:43" x14ac:dyDescent="0.25">
      <c r="A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row>
    <row r="203" spans="1:43" x14ac:dyDescent="0.25">
      <c r="A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row>
    <row r="204" spans="1:43" x14ac:dyDescent="0.25">
      <c r="A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row>
    <row r="205" spans="1:43" x14ac:dyDescent="0.25">
      <c r="A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row>
    <row r="206" spans="1:43" x14ac:dyDescent="0.25">
      <c r="A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row>
    <row r="207" spans="1:43" x14ac:dyDescent="0.25">
      <c r="A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row>
    <row r="208" spans="1:43" x14ac:dyDescent="0.25">
      <c r="A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row>
    <row r="209" spans="1:43" x14ac:dyDescent="0.25">
      <c r="A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row>
    <row r="210" spans="1:43" x14ac:dyDescent="0.25">
      <c r="A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row>
    <row r="211" spans="1:43" x14ac:dyDescent="0.25">
      <c r="A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row>
    <row r="212" spans="1:43" x14ac:dyDescent="0.25">
      <c r="A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row>
    <row r="213" spans="1:43" x14ac:dyDescent="0.25">
      <c r="A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row>
    <row r="214" spans="1:43" x14ac:dyDescent="0.25">
      <c r="A214" s="36"/>
    </row>
    <row r="215" spans="1:43" x14ac:dyDescent="0.25">
      <c r="A215" s="36"/>
    </row>
    <row r="216" spans="1:43" x14ac:dyDescent="0.25">
      <c r="A216" s="36"/>
    </row>
    <row r="217" spans="1:43" x14ac:dyDescent="0.25">
      <c r="A217" s="36"/>
    </row>
  </sheetData>
  <mergeCells count="17">
    <mergeCell ref="H26:J30"/>
    <mergeCell ref="K26:M30"/>
    <mergeCell ref="N26:P30"/>
    <mergeCell ref="Q26:S30"/>
    <mergeCell ref="T26:V30"/>
    <mergeCell ref="X10:AC13"/>
    <mergeCell ref="E10:G13"/>
    <mergeCell ref="X6:AC9"/>
    <mergeCell ref="B2:G4"/>
    <mergeCell ref="H2:V4"/>
    <mergeCell ref="B6:D25"/>
    <mergeCell ref="E6:G9"/>
    <mergeCell ref="E22:G25"/>
    <mergeCell ref="X18:AC21"/>
    <mergeCell ref="E18:G21"/>
    <mergeCell ref="X14:AC17"/>
    <mergeCell ref="E14:G1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00B0F0"/>
  </sheetPr>
  <dimension ref="A1:AK55"/>
  <sheetViews>
    <sheetView zoomScale="70" zoomScaleNormal="70" workbookViewId="0">
      <selection activeCell="B5" sqref="B5"/>
    </sheetView>
  </sheetViews>
  <sheetFormatPr baseColWidth="10" defaultRowHeight="15" x14ac:dyDescent="0.25"/>
  <cols>
    <col min="2" max="2" width="24.140625" customWidth="1"/>
    <col min="3" max="3" width="70.140625" customWidth="1"/>
    <col min="4" max="4" width="23.7109375" customWidth="1"/>
  </cols>
  <sheetData>
    <row r="1" spans="1:37" ht="23.25" x14ac:dyDescent="0.25">
      <c r="A1" s="36"/>
      <c r="B1" s="970" t="s">
        <v>43</v>
      </c>
      <c r="C1" s="970"/>
      <c r="D1" s="970"/>
      <c r="E1" s="36"/>
      <c r="F1" s="36"/>
      <c r="G1" s="36"/>
      <c r="H1" s="36"/>
      <c r="I1" s="36"/>
      <c r="J1" s="36"/>
      <c r="K1" s="36"/>
      <c r="L1" s="36"/>
      <c r="M1" s="36"/>
      <c r="N1" s="36"/>
      <c r="O1" s="36"/>
      <c r="P1" s="36"/>
      <c r="Q1" s="36"/>
      <c r="R1" s="36"/>
      <c r="S1" s="36"/>
      <c r="T1" s="36"/>
      <c r="U1" s="36"/>
      <c r="V1" s="36"/>
      <c r="W1" s="36"/>
      <c r="X1" s="36"/>
      <c r="Y1" s="36"/>
      <c r="Z1" s="36"/>
      <c r="AA1" s="36"/>
      <c r="AB1" s="36"/>
      <c r="AC1" s="36"/>
      <c r="AD1" s="36"/>
      <c r="AE1" s="36"/>
    </row>
    <row r="2" spans="1:37" x14ac:dyDescent="0.25">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row>
    <row r="3" spans="1:37" ht="25.5" x14ac:dyDescent="0.25">
      <c r="A3" s="36"/>
      <c r="B3" s="3"/>
      <c r="C3" s="4" t="s">
        <v>40</v>
      </c>
      <c r="D3" s="4" t="s">
        <v>2</v>
      </c>
      <c r="E3" s="36"/>
      <c r="F3" s="36"/>
      <c r="G3" s="36"/>
      <c r="H3" s="36"/>
      <c r="I3" s="36"/>
      <c r="J3" s="36"/>
      <c r="K3" s="36"/>
      <c r="L3" s="36"/>
      <c r="M3" s="36"/>
      <c r="N3" s="36"/>
      <c r="O3" s="36"/>
      <c r="P3" s="36"/>
      <c r="Q3" s="36"/>
      <c r="R3" s="36"/>
      <c r="S3" s="36"/>
      <c r="T3" s="36"/>
      <c r="U3" s="36"/>
      <c r="V3" s="36"/>
      <c r="W3" s="36"/>
      <c r="X3" s="36"/>
      <c r="Y3" s="36"/>
      <c r="Z3" s="36"/>
      <c r="AA3" s="36"/>
      <c r="AB3" s="36"/>
      <c r="AC3" s="36"/>
      <c r="AD3" s="36"/>
      <c r="AE3" s="36"/>
    </row>
    <row r="4" spans="1:37" ht="51" x14ac:dyDescent="0.25">
      <c r="A4" s="36"/>
      <c r="B4" s="5" t="s">
        <v>39</v>
      </c>
      <c r="C4" s="6" t="s">
        <v>88</v>
      </c>
      <c r="D4" s="7">
        <v>0.2</v>
      </c>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7" ht="51" x14ac:dyDescent="0.25">
      <c r="A5" s="36"/>
      <c r="B5" s="8" t="s">
        <v>41</v>
      </c>
      <c r="C5" s="9" t="s">
        <v>89</v>
      </c>
      <c r="D5" s="10">
        <v>0.4</v>
      </c>
      <c r="E5" s="36"/>
      <c r="F5" s="36"/>
      <c r="G5" s="36"/>
      <c r="H5" s="36"/>
      <c r="I5" s="36"/>
      <c r="J5" s="36"/>
      <c r="K5" s="36"/>
      <c r="L5" s="36"/>
      <c r="M5" s="36"/>
      <c r="N5" s="36"/>
      <c r="O5" s="36"/>
      <c r="P5" s="36"/>
      <c r="Q5" s="36"/>
      <c r="R5" s="36"/>
      <c r="S5" s="36"/>
      <c r="T5" s="36"/>
      <c r="U5" s="36"/>
      <c r="V5" s="36"/>
      <c r="W5" s="36"/>
      <c r="X5" s="36"/>
      <c r="Y5" s="36"/>
      <c r="Z5" s="36"/>
      <c r="AA5" s="36"/>
      <c r="AB5" s="36"/>
      <c r="AC5" s="36"/>
      <c r="AD5" s="36"/>
      <c r="AE5" s="36"/>
    </row>
    <row r="6" spans="1:37" ht="51" x14ac:dyDescent="0.25">
      <c r="A6" s="36"/>
      <c r="B6" s="11" t="s">
        <v>93</v>
      </c>
      <c r="C6" s="9" t="s">
        <v>90</v>
      </c>
      <c r="D6" s="10">
        <v>0.6</v>
      </c>
      <c r="E6" s="36"/>
      <c r="F6" s="36"/>
      <c r="G6" s="36"/>
      <c r="H6" s="36"/>
      <c r="I6" s="36"/>
      <c r="J6" s="36"/>
      <c r="K6" s="36"/>
      <c r="L6" s="36"/>
      <c r="M6" s="36"/>
      <c r="N6" s="36"/>
      <c r="O6" s="36"/>
      <c r="P6" s="36"/>
      <c r="Q6" s="36"/>
      <c r="R6" s="36"/>
      <c r="S6" s="36"/>
      <c r="T6" s="36"/>
      <c r="U6" s="36"/>
      <c r="V6" s="36"/>
      <c r="W6" s="36"/>
      <c r="X6" s="36"/>
      <c r="Y6" s="36"/>
      <c r="Z6" s="36"/>
      <c r="AA6" s="36"/>
      <c r="AB6" s="36"/>
      <c r="AC6" s="36"/>
      <c r="AD6" s="36"/>
      <c r="AE6" s="36"/>
    </row>
    <row r="7" spans="1:37" ht="76.5" x14ac:dyDescent="0.25">
      <c r="A7" s="36"/>
      <c r="B7" s="12" t="s">
        <v>4</v>
      </c>
      <c r="C7" s="9" t="s">
        <v>91</v>
      </c>
      <c r="D7" s="10">
        <v>0.8</v>
      </c>
      <c r="E7" s="36"/>
      <c r="F7" s="36"/>
      <c r="G7" s="36"/>
      <c r="H7" s="36"/>
      <c r="I7" s="36"/>
      <c r="J7" s="36"/>
      <c r="K7" s="36"/>
      <c r="L7" s="36"/>
      <c r="M7" s="36"/>
      <c r="N7" s="36"/>
      <c r="O7" s="36"/>
      <c r="P7" s="36"/>
      <c r="Q7" s="36"/>
      <c r="R7" s="36"/>
      <c r="S7" s="36"/>
      <c r="T7" s="36"/>
      <c r="U7" s="36"/>
      <c r="V7" s="36"/>
      <c r="W7" s="36"/>
      <c r="X7" s="36"/>
      <c r="Y7" s="36"/>
      <c r="Z7" s="36"/>
      <c r="AA7" s="36"/>
      <c r="AB7" s="36"/>
      <c r="AC7" s="36"/>
      <c r="AD7" s="36"/>
      <c r="AE7" s="36"/>
    </row>
    <row r="8" spans="1:37" ht="51" x14ac:dyDescent="0.25">
      <c r="A8" s="36"/>
      <c r="B8" s="13" t="s">
        <v>42</v>
      </c>
      <c r="C8" s="9" t="s">
        <v>92</v>
      </c>
      <c r="D8" s="10">
        <v>1</v>
      </c>
      <c r="E8" s="36"/>
      <c r="F8" s="36"/>
      <c r="G8" s="36"/>
      <c r="H8" s="36"/>
      <c r="I8" s="36"/>
      <c r="J8" s="36"/>
      <c r="K8" s="36"/>
      <c r="L8" s="36"/>
      <c r="M8" s="36"/>
      <c r="N8" s="36"/>
      <c r="O8" s="36"/>
      <c r="P8" s="36"/>
      <c r="Q8" s="36"/>
      <c r="R8" s="36"/>
      <c r="S8" s="36"/>
      <c r="T8" s="36"/>
      <c r="U8" s="36"/>
      <c r="V8" s="36"/>
      <c r="W8" s="36"/>
      <c r="X8" s="36"/>
      <c r="Y8" s="36"/>
      <c r="Z8" s="36"/>
      <c r="AA8" s="36"/>
      <c r="AB8" s="36"/>
      <c r="AC8" s="36"/>
      <c r="AD8" s="36"/>
      <c r="AE8" s="36"/>
    </row>
    <row r="9" spans="1:37" x14ac:dyDescent="0.25">
      <c r="A9" s="36"/>
      <c r="B9" s="58"/>
      <c r="C9" s="58"/>
      <c r="D9" s="58"/>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row>
    <row r="10" spans="1:37" ht="16.5" x14ac:dyDescent="0.25">
      <c r="A10" s="36"/>
      <c r="B10" s="59"/>
      <c r="C10" s="58"/>
      <c r="D10" s="58"/>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row>
    <row r="11" spans="1:37" x14ac:dyDescent="0.25">
      <c r="A11" s="36"/>
      <c r="B11" s="58"/>
      <c r="C11" s="58"/>
      <c r="D11" s="58"/>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row>
    <row r="12" spans="1:37" x14ac:dyDescent="0.25">
      <c r="A12" s="36"/>
      <c r="B12" s="58"/>
      <c r="C12" s="58"/>
      <c r="D12" s="58"/>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row>
    <row r="13" spans="1:37" x14ac:dyDescent="0.25">
      <c r="A13" s="36"/>
      <c r="B13" s="58"/>
      <c r="C13" s="58"/>
      <c r="D13" s="58"/>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row>
    <row r="14" spans="1:37" x14ac:dyDescent="0.25">
      <c r="A14" s="36"/>
      <c r="B14" s="58"/>
      <c r="C14" s="58"/>
      <c r="D14" s="58"/>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row>
    <row r="15" spans="1:37" x14ac:dyDescent="0.25">
      <c r="A15" s="36"/>
      <c r="B15" s="58"/>
      <c r="C15" s="58"/>
      <c r="D15" s="58"/>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row>
    <row r="16" spans="1:37" x14ac:dyDescent="0.25">
      <c r="A16" s="36"/>
      <c r="B16" s="58"/>
      <c r="C16" s="58"/>
      <c r="D16" s="58"/>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row>
    <row r="17" spans="1:37" x14ac:dyDescent="0.25">
      <c r="A17" s="36"/>
      <c r="B17" s="58"/>
      <c r="C17" s="58"/>
      <c r="D17" s="58"/>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row>
    <row r="18" spans="1:37" x14ac:dyDescent="0.25">
      <c r="A18" s="36"/>
      <c r="B18" s="58"/>
      <c r="C18" s="58"/>
      <c r="D18" s="58"/>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row>
    <row r="19" spans="1:37" x14ac:dyDescent="0.25">
      <c r="A19" s="36"/>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row>
    <row r="20" spans="1:37" x14ac:dyDescent="0.25">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row>
    <row r="21" spans="1:37" x14ac:dyDescent="0.25">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row>
    <row r="22" spans="1:37" x14ac:dyDescent="0.25">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row>
    <row r="23" spans="1:37" x14ac:dyDescent="0.25">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row>
    <row r="24" spans="1:37"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row>
    <row r="25" spans="1:37"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row>
    <row r="26" spans="1:37"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row>
    <row r="27" spans="1:37"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row>
    <row r="28" spans="1:37"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row>
    <row r="29" spans="1:37"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row>
    <row r="30" spans="1:37"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spans="1:37"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1:37"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row>
    <row r="33" spans="1:31" x14ac:dyDescent="0.25">
      <c r="A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row>
    <row r="34" spans="1:31" x14ac:dyDescent="0.25">
      <c r="A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row>
    <row r="35" spans="1:31" x14ac:dyDescent="0.25">
      <c r="A35" s="36"/>
    </row>
    <row r="36" spans="1:31" x14ac:dyDescent="0.25">
      <c r="A36" s="36"/>
    </row>
    <row r="37" spans="1:31" x14ac:dyDescent="0.25">
      <c r="A37" s="36"/>
    </row>
    <row r="38" spans="1:31" x14ac:dyDescent="0.25">
      <c r="A38" s="36"/>
    </row>
    <row r="39" spans="1:31" x14ac:dyDescent="0.25">
      <c r="A39" s="36"/>
    </row>
    <row r="40" spans="1:31" x14ac:dyDescent="0.25">
      <c r="A40" s="36"/>
    </row>
    <row r="41" spans="1:31" x14ac:dyDescent="0.25">
      <c r="A41" s="36"/>
    </row>
    <row r="42" spans="1:31" x14ac:dyDescent="0.25">
      <c r="A42" s="36"/>
    </row>
    <row r="43" spans="1:31" x14ac:dyDescent="0.25">
      <c r="A43" s="36"/>
    </row>
    <row r="44" spans="1:31" x14ac:dyDescent="0.25">
      <c r="A44" s="36"/>
    </row>
    <row r="45" spans="1:31" x14ac:dyDescent="0.25">
      <c r="A45" s="36"/>
    </row>
    <row r="46" spans="1:31" x14ac:dyDescent="0.25">
      <c r="A46" s="36"/>
    </row>
    <row r="47" spans="1:31" x14ac:dyDescent="0.25">
      <c r="A47" s="36"/>
    </row>
    <row r="48" spans="1:31" x14ac:dyDescent="0.25">
      <c r="A48" s="36"/>
    </row>
    <row r="49" spans="1:1" x14ac:dyDescent="0.25">
      <c r="A49" s="36"/>
    </row>
    <row r="50" spans="1:1" x14ac:dyDescent="0.25">
      <c r="A50" s="36"/>
    </row>
    <row r="51" spans="1:1" x14ac:dyDescent="0.25">
      <c r="A51" s="36"/>
    </row>
    <row r="52" spans="1:1" x14ac:dyDescent="0.25">
      <c r="A52" s="36"/>
    </row>
    <row r="53" spans="1:1" x14ac:dyDescent="0.25">
      <c r="A53" s="36"/>
    </row>
    <row r="54" spans="1:1" x14ac:dyDescent="0.25">
      <c r="A54" s="36"/>
    </row>
    <row r="55" spans="1:1" x14ac:dyDescent="0.25">
      <c r="A55" s="36"/>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6" tint="-0.249977111117893"/>
  </sheetPr>
  <dimension ref="A1:U232"/>
  <sheetViews>
    <sheetView zoomScale="50" zoomScaleNormal="50" workbookViewId="0">
      <selection activeCell="D6" sqref="D6"/>
    </sheetView>
  </sheetViews>
  <sheetFormatPr baseColWidth="10" defaultRowHeight="15" x14ac:dyDescent="0.25"/>
  <cols>
    <col min="2" max="2" width="30.7109375" customWidth="1"/>
    <col min="3" max="3" width="42.140625" customWidth="1"/>
    <col min="4" max="4" width="91.85546875" customWidth="1"/>
    <col min="5" max="5" width="144.7109375" bestFit="1" customWidth="1"/>
  </cols>
  <sheetData>
    <row r="1" spans="1:21" ht="33.75" x14ac:dyDescent="0.25">
      <c r="A1" s="36"/>
      <c r="B1" s="971" t="s">
        <v>51</v>
      </c>
      <c r="C1" s="971"/>
      <c r="D1" s="971"/>
      <c r="E1" s="36"/>
      <c r="F1" s="36"/>
      <c r="G1" s="36"/>
      <c r="H1" s="36"/>
      <c r="I1" s="36"/>
      <c r="J1" s="36"/>
      <c r="K1" s="36"/>
      <c r="L1" s="36"/>
      <c r="M1" s="36"/>
      <c r="N1" s="36"/>
      <c r="O1" s="36"/>
      <c r="P1" s="36"/>
      <c r="Q1" s="36"/>
      <c r="R1" s="36"/>
      <c r="S1" s="36"/>
      <c r="T1" s="36"/>
      <c r="U1" s="36"/>
    </row>
    <row r="2" spans="1:21" x14ac:dyDescent="0.25">
      <c r="A2" s="36"/>
      <c r="B2" s="36"/>
      <c r="C2" s="36"/>
      <c r="D2" s="36"/>
      <c r="E2" s="36"/>
      <c r="F2" s="36"/>
      <c r="G2" s="36"/>
      <c r="H2" s="36"/>
      <c r="I2" s="36"/>
      <c r="J2" s="36"/>
      <c r="K2" s="36"/>
      <c r="L2" s="36"/>
      <c r="M2" s="36"/>
      <c r="N2" s="36"/>
      <c r="O2" s="36"/>
      <c r="P2" s="36"/>
      <c r="Q2" s="36"/>
      <c r="R2" s="36"/>
      <c r="S2" s="36"/>
      <c r="T2" s="36"/>
      <c r="U2" s="36"/>
    </row>
    <row r="3" spans="1:21" ht="90" x14ac:dyDescent="0.25">
      <c r="A3" s="36"/>
      <c r="B3" s="55"/>
      <c r="C3" s="22" t="s">
        <v>44</v>
      </c>
      <c r="D3" s="22" t="s">
        <v>45</v>
      </c>
      <c r="E3" s="36"/>
      <c r="F3" s="36"/>
      <c r="G3" s="36"/>
      <c r="H3" s="36"/>
      <c r="I3" s="36"/>
      <c r="J3" s="36"/>
      <c r="K3" s="36"/>
      <c r="L3" s="36"/>
      <c r="M3" s="36"/>
      <c r="N3" s="36"/>
      <c r="O3" s="36"/>
      <c r="P3" s="36"/>
      <c r="Q3" s="36"/>
      <c r="R3" s="36"/>
      <c r="S3" s="36"/>
      <c r="T3" s="36"/>
      <c r="U3" s="36"/>
    </row>
    <row r="4" spans="1:21" ht="67.5" x14ac:dyDescent="0.25">
      <c r="A4" s="54" t="s">
        <v>70</v>
      </c>
      <c r="B4" s="25" t="s">
        <v>87</v>
      </c>
      <c r="C4" s="30" t="s">
        <v>135</v>
      </c>
      <c r="D4" s="23" t="s">
        <v>83</v>
      </c>
      <c r="E4" s="36"/>
      <c r="F4" s="36"/>
      <c r="G4" s="36"/>
      <c r="H4" s="36"/>
      <c r="I4" s="36"/>
      <c r="J4" s="36"/>
      <c r="K4" s="36"/>
      <c r="L4" s="36"/>
      <c r="M4" s="36"/>
      <c r="N4" s="36"/>
      <c r="O4" s="36"/>
      <c r="P4" s="36"/>
      <c r="Q4" s="36"/>
      <c r="R4" s="36"/>
      <c r="S4" s="36"/>
      <c r="T4" s="36"/>
      <c r="U4" s="36"/>
    </row>
    <row r="5" spans="1:21" ht="135" x14ac:dyDescent="0.25">
      <c r="A5" s="54" t="s">
        <v>71</v>
      </c>
      <c r="B5" s="26" t="s">
        <v>47</v>
      </c>
      <c r="C5" s="31" t="s">
        <v>79</v>
      </c>
      <c r="D5" s="24" t="s">
        <v>84</v>
      </c>
      <c r="E5" s="36"/>
      <c r="F5" s="36"/>
      <c r="G5" s="36"/>
      <c r="H5" s="36"/>
      <c r="I5" s="36"/>
      <c r="J5" s="36"/>
      <c r="K5" s="36"/>
      <c r="L5" s="36"/>
      <c r="M5" s="36"/>
      <c r="N5" s="36"/>
      <c r="O5" s="36"/>
      <c r="P5" s="36"/>
      <c r="Q5" s="36"/>
      <c r="R5" s="36"/>
      <c r="S5" s="36"/>
      <c r="T5" s="36"/>
      <c r="U5" s="36"/>
    </row>
    <row r="6" spans="1:21" ht="101.25" x14ac:dyDescent="0.25">
      <c r="A6" s="54" t="s">
        <v>68</v>
      </c>
      <c r="B6" s="27" t="s">
        <v>48</v>
      </c>
      <c r="C6" s="31" t="s">
        <v>80</v>
      </c>
      <c r="D6" s="24" t="s">
        <v>86</v>
      </c>
      <c r="E6" s="36"/>
      <c r="F6" s="36"/>
      <c r="G6" s="36"/>
      <c r="H6" s="36"/>
      <c r="I6" s="36"/>
      <c r="J6" s="36"/>
      <c r="K6" s="36"/>
      <c r="L6" s="36"/>
      <c r="M6" s="36"/>
      <c r="N6" s="36"/>
      <c r="O6" s="36"/>
      <c r="P6" s="36"/>
      <c r="Q6" s="36"/>
      <c r="R6" s="36"/>
      <c r="S6" s="36"/>
      <c r="T6" s="36"/>
      <c r="U6" s="36"/>
    </row>
    <row r="7" spans="1:21" ht="101.25" x14ac:dyDescent="0.25">
      <c r="A7" s="54" t="s">
        <v>5</v>
      </c>
      <c r="B7" s="28" t="s">
        <v>49</v>
      </c>
      <c r="C7" s="31" t="s">
        <v>81</v>
      </c>
      <c r="D7" s="24" t="s">
        <v>85</v>
      </c>
      <c r="E7" s="36"/>
      <c r="F7" s="36"/>
      <c r="G7" s="36"/>
      <c r="H7" s="36"/>
      <c r="I7" s="36"/>
      <c r="J7" s="36"/>
      <c r="K7" s="36"/>
      <c r="L7" s="36"/>
      <c r="M7" s="36"/>
      <c r="N7" s="36"/>
      <c r="O7" s="36"/>
      <c r="P7" s="36"/>
      <c r="Q7" s="36"/>
      <c r="R7" s="36"/>
      <c r="S7" s="36"/>
      <c r="T7" s="36"/>
      <c r="U7" s="36"/>
    </row>
    <row r="8" spans="1:21" ht="101.25" x14ac:dyDescent="0.25">
      <c r="A8" s="54" t="s">
        <v>72</v>
      </c>
      <c r="B8" s="29" t="s">
        <v>50</v>
      </c>
      <c r="C8" s="31" t="s">
        <v>82</v>
      </c>
      <c r="D8" s="24" t="s">
        <v>104</v>
      </c>
      <c r="E8" s="36"/>
      <c r="F8" s="36"/>
      <c r="G8" s="36"/>
      <c r="H8" s="36"/>
      <c r="I8" s="36"/>
      <c r="J8" s="36"/>
      <c r="K8" s="36"/>
      <c r="L8" s="36"/>
      <c r="M8" s="36"/>
      <c r="N8" s="36"/>
      <c r="O8" s="36"/>
      <c r="P8" s="36"/>
      <c r="Q8" s="36"/>
      <c r="R8" s="36"/>
      <c r="S8" s="36"/>
      <c r="T8" s="36"/>
      <c r="U8" s="36"/>
    </row>
    <row r="9" spans="1:21" ht="20.25" x14ac:dyDescent="0.25">
      <c r="A9" s="54"/>
      <c r="B9" s="54"/>
      <c r="C9" s="56"/>
      <c r="D9" s="56"/>
      <c r="E9" s="36"/>
      <c r="F9" s="36"/>
      <c r="G9" s="36"/>
      <c r="H9" s="36"/>
      <c r="I9" s="36"/>
      <c r="J9" s="36"/>
      <c r="K9" s="36"/>
      <c r="L9" s="36"/>
      <c r="M9" s="36"/>
      <c r="N9" s="36"/>
      <c r="O9" s="36"/>
      <c r="P9" s="36"/>
      <c r="Q9" s="36"/>
      <c r="R9" s="36"/>
      <c r="S9" s="36"/>
      <c r="T9" s="36"/>
      <c r="U9" s="36"/>
    </row>
    <row r="10" spans="1:21" ht="135" x14ac:dyDescent="0.25">
      <c r="A10" s="54"/>
      <c r="B10" s="57"/>
      <c r="C10" s="23" t="s">
        <v>83</v>
      </c>
      <c r="D10" s="57"/>
      <c r="E10" s="36"/>
      <c r="F10" s="36"/>
      <c r="G10" s="36"/>
      <c r="H10" s="36"/>
      <c r="I10" s="36"/>
      <c r="J10" s="36"/>
      <c r="K10" s="36"/>
      <c r="L10" s="36"/>
      <c r="M10" s="36"/>
      <c r="N10" s="36"/>
      <c r="O10" s="36"/>
      <c r="P10" s="36"/>
      <c r="Q10" s="36"/>
      <c r="R10" s="36"/>
      <c r="S10" s="36"/>
      <c r="T10" s="36"/>
      <c r="U10" s="36"/>
    </row>
    <row r="11" spans="1:21" ht="270" x14ac:dyDescent="0.25">
      <c r="A11" s="54"/>
      <c r="B11" s="54" t="s">
        <v>78</v>
      </c>
      <c r="C11" s="24" t="s">
        <v>84</v>
      </c>
      <c r="D11" s="54" t="s">
        <v>130</v>
      </c>
      <c r="E11" s="36"/>
      <c r="F11" s="36"/>
      <c r="G11" s="36"/>
      <c r="H11" s="36"/>
      <c r="I11" s="36"/>
      <c r="J11" s="36"/>
      <c r="K11" s="36"/>
      <c r="L11" s="36"/>
      <c r="M11" s="36"/>
      <c r="N11" s="36"/>
      <c r="O11" s="36"/>
      <c r="P11" s="36"/>
      <c r="Q11" s="36"/>
      <c r="R11" s="36"/>
      <c r="S11" s="36"/>
      <c r="T11" s="36"/>
      <c r="U11" s="36"/>
    </row>
    <row r="12" spans="1:21" ht="202.5" x14ac:dyDescent="0.25">
      <c r="A12" s="54"/>
      <c r="B12" s="54" t="s">
        <v>76</v>
      </c>
      <c r="C12" s="24" t="s">
        <v>86</v>
      </c>
      <c r="D12" s="54" t="s">
        <v>131</v>
      </c>
      <c r="E12" s="36"/>
      <c r="F12" s="36"/>
      <c r="G12" s="36"/>
      <c r="H12" s="36"/>
      <c r="I12" s="36"/>
      <c r="J12" s="36"/>
      <c r="K12" s="36"/>
      <c r="L12" s="36"/>
      <c r="M12" s="36"/>
      <c r="N12" s="36"/>
      <c r="O12" s="36"/>
      <c r="P12" s="36"/>
      <c r="Q12" s="36"/>
      <c r="R12" s="36"/>
      <c r="S12" s="36"/>
      <c r="T12" s="36"/>
      <c r="U12" s="36"/>
    </row>
    <row r="13" spans="1:21" ht="270" x14ac:dyDescent="0.25">
      <c r="A13" s="54"/>
      <c r="B13" s="54"/>
      <c r="C13" s="24" t="s">
        <v>85</v>
      </c>
      <c r="D13" s="54" t="s">
        <v>132</v>
      </c>
      <c r="E13" s="36"/>
      <c r="F13" s="36"/>
      <c r="G13" s="36"/>
      <c r="H13" s="36"/>
      <c r="I13" s="36"/>
      <c r="J13" s="36"/>
      <c r="K13" s="36"/>
      <c r="L13" s="36"/>
      <c r="M13" s="36"/>
      <c r="N13" s="36"/>
      <c r="O13" s="36"/>
      <c r="P13" s="36"/>
      <c r="Q13" s="36"/>
      <c r="R13" s="36"/>
      <c r="S13" s="36"/>
      <c r="T13" s="36"/>
      <c r="U13" s="36"/>
    </row>
    <row r="14" spans="1:21" ht="168.75" x14ac:dyDescent="0.25">
      <c r="A14" s="54"/>
      <c r="B14" s="54"/>
      <c r="C14" s="24" t="s">
        <v>104</v>
      </c>
      <c r="D14" s="54" t="s">
        <v>133</v>
      </c>
      <c r="E14" s="36"/>
      <c r="F14" s="36"/>
      <c r="G14" s="36"/>
      <c r="H14" s="36"/>
      <c r="I14" s="36"/>
      <c r="J14" s="36"/>
      <c r="K14" s="36"/>
      <c r="L14" s="36"/>
      <c r="M14" s="36"/>
      <c r="N14" s="36"/>
      <c r="O14" s="36"/>
      <c r="P14" s="36"/>
      <c r="Q14" s="36"/>
      <c r="R14" s="36"/>
      <c r="S14" s="36"/>
      <c r="T14" s="36"/>
      <c r="U14" s="36"/>
    </row>
    <row r="15" spans="1:21" x14ac:dyDescent="0.25">
      <c r="A15" s="54"/>
      <c r="B15" s="54"/>
      <c r="C15" s="54" t="s">
        <v>129</v>
      </c>
      <c r="D15" s="54" t="s">
        <v>134</v>
      </c>
      <c r="E15" s="36"/>
      <c r="F15" s="36"/>
      <c r="G15" s="36"/>
      <c r="H15" s="36"/>
      <c r="I15" s="36"/>
      <c r="J15" s="36"/>
      <c r="K15" s="36"/>
      <c r="L15" s="36"/>
      <c r="M15" s="36"/>
      <c r="N15" s="36"/>
      <c r="O15" s="36"/>
      <c r="P15" s="36"/>
      <c r="Q15" s="36"/>
      <c r="R15" s="36"/>
      <c r="S15" s="36"/>
      <c r="T15" s="36"/>
      <c r="U15" s="36"/>
    </row>
    <row r="16" spans="1:21" x14ac:dyDescent="0.25">
      <c r="A16" s="54"/>
      <c r="B16" s="54"/>
      <c r="C16" s="54"/>
      <c r="D16" s="54"/>
      <c r="E16" s="36"/>
      <c r="F16" s="36"/>
      <c r="G16" s="36"/>
      <c r="H16" s="36"/>
      <c r="I16" s="36"/>
      <c r="J16" s="36"/>
      <c r="K16" s="36"/>
      <c r="L16" s="36"/>
      <c r="M16" s="36"/>
      <c r="N16" s="36"/>
      <c r="O16" s="36"/>
    </row>
    <row r="17" spans="1:15" x14ac:dyDescent="0.25">
      <c r="A17" s="54"/>
      <c r="B17" s="54"/>
      <c r="C17" s="54"/>
      <c r="D17" s="54"/>
      <c r="E17" s="36"/>
      <c r="F17" s="36"/>
      <c r="G17" s="36"/>
      <c r="H17" s="36"/>
      <c r="I17" s="36"/>
      <c r="J17" s="36"/>
      <c r="K17" s="36"/>
      <c r="L17" s="36"/>
      <c r="M17" s="36"/>
      <c r="N17" s="36"/>
      <c r="O17" s="36"/>
    </row>
    <row r="18" spans="1:15" x14ac:dyDescent="0.25">
      <c r="A18" s="54"/>
      <c r="B18" s="58"/>
      <c r="C18" s="58"/>
      <c r="D18" s="58"/>
      <c r="E18" s="36"/>
      <c r="F18" s="36"/>
      <c r="G18" s="36"/>
      <c r="H18" s="36"/>
      <c r="I18" s="36"/>
      <c r="J18" s="36"/>
      <c r="K18" s="36"/>
      <c r="L18" s="36"/>
      <c r="M18" s="36"/>
      <c r="N18" s="36"/>
      <c r="O18" s="36"/>
    </row>
    <row r="19" spans="1:15" x14ac:dyDescent="0.25">
      <c r="A19" s="54"/>
      <c r="B19" s="58"/>
      <c r="C19" s="58"/>
      <c r="D19" s="58"/>
      <c r="E19" s="36"/>
      <c r="F19" s="36"/>
      <c r="G19" s="36"/>
      <c r="H19" s="36"/>
      <c r="I19" s="36"/>
      <c r="J19" s="36"/>
      <c r="K19" s="36"/>
      <c r="L19" s="36"/>
      <c r="M19" s="36"/>
      <c r="N19" s="36"/>
      <c r="O19" s="36"/>
    </row>
    <row r="20" spans="1:15" x14ac:dyDescent="0.25">
      <c r="A20" s="54"/>
      <c r="B20" s="58"/>
      <c r="C20" s="58"/>
      <c r="D20" s="58"/>
      <c r="E20" s="36"/>
      <c r="F20" s="36"/>
      <c r="G20" s="36"/>
      <c r="H20" s="36"/>
      <c r="I20" s="36"/>
      <c r="J20" s="36"/>
      <c r="K20" s="36"/>
      <c r="L20" s="36"/>
      <c r="M20" s="36"/>
      <c r="N20" s="36"/>
      <c r="O20" s="36"/>
    </row>
    <row r="21" spans="1:15" x14ac:dyDescent="0.25">
      <c r="A21" s="54"/>
      <c r="B21" s="58"/>
      <c r="C21" s="58"/>
      <c r="D21" s="58"/>
      <c r="E21" s="36"/>
      <c r="F21" s="36"/>
      <c r="G21" s="36"/>
      <c r="H21" s="36"/>
      <c r="I21" s="36"/>
      <c r="J21" s="36"/>
      <c r="K21" s="36"/>
      <c r="L21" s="36"/>
      <c r="M21" s="36"/>
      <c r="N21" s="36"/>
      <c r="O21" s="36"/>
    </row>
    <row r="22" spans="1:15" ht="20.25" x14ac:dyDescent="0.25">
      <c r="A22" s="54"/>
      <c r="B22" s="54"/>
      <c r="C22" s="56"/>
      <c r="D22" s="56"/>
      <c r="E22" s="36"/>
      <c r="F22" s="36"/>
      <c r="G22" s="36"/>
      <c r="H22" s="36"/>
      <c r="I22" s="36"/>
      <c r="J22" s="36"/>
      <c r="K22" s="36"/>
      <c r="L22" s="36"/>
      <c r="M22" s="36"/>
      <c r="N22" s="36"/>
      <c r="O22" s="36"/>
    </row>
    <row r="23" spans="1:15" ht="20.25" x14ac:dyDescent="0.25">
      <c r="A23" s="54"/>
      <c r="B23" s="54"/>
      <c r="C23" s="56"/>
      <c r="D23" s="56"/>
      <c r="E23" s="36"/>
      <c r="F23" s="36"/>
      <c r="G23" s="36"/>
      <c r="H23" s="36"/>
      <c r="I23" s="36"/>
      <c r="J23" s="36"/>
      <c r="K23" s="36"/>
      <c r="L23" s="36"/>
      <c r="M23" s="36"/>
      <c r="N23" s="36"/>
      <c r="O23" s="36"/>
    </row>
    <row r="24" spans="1:15" ht="20.25" x14ac:dyDescent="0.25">
      <c r="A24" s="54"/>
      <c r="B24" s="54"/>
      <c r="C24" s="56"/>
      <c r="D24" s="56"/>
      <c r="E24" s="36"/>
      <c r="F24" s="36"/>
      <c r="G24" s="36"/>
      <c r="H24" s="36"/>
      <c r="I24" s="36"/>
      <c r="J24" s="36"/>
      <c r="K24" s="36"/>
      <c r="L24" s="36"/>
      <c r="M24" s="36"/>
      <c r="N24" s="36"/>
      <c r="O24" s="36"/>
    </row>
    <row r="25" spans="1:15" ht="20.25" x14ac:dyDescent="0.25">
      <c r="A25" s="54"/>
      <c r="B25" s="54"/>
      <c r="C25" s="56"/>
      <c r="D25" s="56"/>
      <c r="E25" s="36"/>
      <c r="F25" s="36"/>
      <c r="G25" s="36"/>
      <c r="H25" s="36"/>
      <c r="I25" s="36"/>
      <c r="J25" s="36"/>
      <c r="K25" s="36"/>
      <c r="L25" s="36"/>
      <c r="M25" s="36"/>
      <c r="N25" s="36"/>
      <c r="O25" s="36"/>
    </row>
    <row r="26" spans="1:15" ht="20.25" x14ac:dyDescent="0.25">
      <c r="A26" s="54"/>
      <c r="B26" s="54"/>
      <c r="C26" s="56"/>
      <c r="D26" s="56"/>
      <c r="E26" s="36"/>
      <c r="F26" s="36"/>
      <c r="G26" s="36"/>
      <c r="H26" s="36"/>
      <c r="I26" s="36"/>
      <c r="J26" s="36"/>
      <c r="K26" s="36"/>
      <c r="L26" s="36"/>
      <c r="M26" s="36"/>
      <c r="N26" s="36"/>
      <c r="O26" s="36"/>
    </row>
    <row r="27" spans="1:15" ht="20.25" x14ac:dyDescent="0.25">
      <c r="A27" s="54"/>
      <c r="B27" s="54"/>
      <c r="C27" s="56"/>
      <c r="D27" s="56"/>
      <c r="E27" s="36"/>
      <c r="F27" s="36"/>
      <c r="G27" s="36"/>
      <c r="H27" s="36"/>
      <c r="I27" s="36"/>
      <c r="J27" s="36"/>
      <c r="K27" s="36"/>
      <c r="L27" s="36"/>
      <c r="M27" s="36"/>
      <c r="N27" s="36"/>
      <c r="O27" s="36"/>
    </row>
    <row r="28" spans="1:15" ht="20.25" x14ac:dyDescent="0.25">
      <c r="A28" s="54"/>
      <c r="B28" s="54"/>
      <c r="C28" s="56"/>
      <c r="D28" s="56"/>
      <c r="E28" s="36"/>
      <c r="F28" s="36"/>
      <c r="G28" s="36"/>
      <c r="H28" s="36"/>
      <c r="I28" s="36"/>
      <c r="J28" s="36"/>
      <c r="K28" s="36"/>
      <c r="L28" s="36"/>
      <c r="M28" s="36"/>
      <c r="N28" s="36"/>
      <c r="O28" s="36"/>
    </row>
    <row r="29" spans="1:15" ht="20.25" x14ac:dyDescent="0.25">
      <c r="A29" s="54"/>
      <c r="B29" s="54"/>
      <c r="C29" s="56"/>
      <c r="D29" s="56"/>
      <c r="E29" s="36"/>
      <c r="F29" s="36"/>
      <c r="G29" s="36"/>
      <c r="H29" s="36"/>
      <c r="I29" s="36"/>
      <c r="J29" s="36"/>
      <c r="K29" s="36"/>
      <c r="L29" s="36"/>
      <c r="M29" s="36"/>
      <c r="N29" s="36"/>
      <c r="O29" s="36"/>
    </row>
    <row r="30" spans="1:15" ht="20.25" x14ac:dyDescent="0.25">
      <c r="A30" s="54"/>
      <c r="B30" s="54"/>
      <c r="C30" s="56"/>
      <c r="D30" s="56"/>
      <c r="E30" s="36"/>
      <c r="F30" s="36"/>
      <c r="G30" s="36"/>
      <c r="H30" s="36"/>
      <c r="I30" s="36"/>
      <c r="J30" s="36"/>
      <c r="K30" s="36"/>
      <c r="L30" s="36"/>
      <c r="M30" s="36"/>
      <c r="N30" s="36"/>
      <c r="O30" s="36"/>
    </row>
    <row r="31" spans="1:15" ht="20.25" x14ac:dyDescent="0.25">
      <c r="A31" s="54"/>
      <c r="B31" s="54"/>
      <c r="C31" s="56"/>
      <c r="D31" s="56"/>
      <c r="E31" s="36"/>
      <c r="F31" s="36"/>
      <c r="G31" s="36"/>
      <c r="H31" s="36"/>
      <c r="I31" s="36"/>
      <c r="J31" s="36"/>
      <c r="K31" s="36"/>
      <c r="L31" s="36"/>
      <c r="M31" s="36"/>
      <c r="N31" s="36"/>
      <c r="O31" s="36"/>
    </row>
    <row r="32" spans="1:15" ht="20.25" x14ac:dyDescent="0.25">
      <c r="A32" s="54"/>
      <c r="B32" s="54"/>
      <c r="C32" s="56"/>
      <c r="D32" s="56"/>
      <c r="E32" s="36"/>
      <c r="F32" s="36"/>
      <c r="G32" s="36"/>
      <c r="H32" s="36"/>
      <c r="I32" s="36"/>
      <c r="J32" s="36"/>
      <c r="K32" s="36"/>
      <c r="L32" s="36"/>
      <c r="M32" s="36"/>
      <c r="N32" s="36"/>
      <c r="O32" s="36"/>
    </row>
    <row r="33" spans="1:15" ht="20.25" x14ac:dyDescent="0.25">
      <c r="A33" s="54"/>
      <c r="B33" s="54"/>
      <c r="C33" s="56"/>
      <c r="D33" s="56"/>
      <c r="E33" s="36"/>
      <c r="F33" s="36"/>
      <c r="G33" s="36"/>
      <c r="H33" s="36"/>
      <c r="I33" s="36"/>
      <c r="J33" s="36"/>
      <c r="K33" s="36"/>
      <c r="L33" s="36"/>
      <c r="M33" s="36"/>
      <c r="N33" s="36"/>
      <c r="O33" s="36"/>
    </row>
    <row r="34" spans="1:15" ht="20.25" x14ac:dyDescent="0.25">
      <c r="A34" s="54"/>
      <c r="B34" s="54"/>
      <c r="C34" s="56"/>
      <c r="D34" s="56"/>
      <c r="E34" s="36"/>
      <c r="F34" s="36"/>
      <c r="G34" s="36"/>
      <c r="H34" s="36"/>
      <c r="I34" s="36"/>
      <c r="J34" s="36"/>
      <c r="K34" s="36"/>
      <c r="L34" s="36"/>
      <c r="M34" s="36"/>
      <c r="N34" s="36"/>
      <c r="O34" s="36"/>
    </row>
    <row r="35" spans="1:15" ht="20.25" x14ac:dyDescent="0.25">
      <c r="A35" s="54"/>
      <c r="B35" s="54"/>
      <c r="C35" s="56"/>
      <c r="D35" s="56"/>
      <c r="E35" s="36"/>
      <c r="F35" s="36"/>
      <c r="G35" s="36"/>
      <c r="H35" s="36"/>
      <c r="I35" s="36"/>
      <c r="J35" s="36"/>
      <c r="K35" s="36"/>
      <c r="L35" s="36"/>
      <c r="M35" s="36"/>
      <c r="N35" s="36"/>
      <c r="O35" s="36"/>
    </row>
    <row r="36" spans="1:15" ht="20.25" x14ac:dyDescent="0.25">
      <c r="A36" s="54"/>
      <c r="B36" s="54"/>
      <c r="C36" s="56"/>
      <c r="D36" s="56"/>
      <c r="E36" s="36"/>
      <c r="F36" s="36"/>
      <c r="G36" s="36"/>
      <c r="H36" s="36"/>
      <c r="I36" s="36"/>
      <c r="J36" s="36"/>
      <c r="K36" s="36"/>
      <c r="L36" s="36"/>
      <c r="M36" s="36"/>
      <c r="N36" s="36"/>
      <c r="O36" s="36"/>
    </row>
    <row r="37" spans="1:15" ht="20.25" x14ac:dyDescent="0.25">
      <c r="A37" s="54"/>
      <c r="B37" s="54"/>
      <c r="C37" s="56"/>
      <c r="D37" s="56"/>
      <c r="E37" s="36"/>
      <c r="F37" s="36"/>
      <c r="G37" s="36"/>
      <c r="H37" s="36"/>
      <c r="I37" s="36"/>
      <c r="J37" s="36"/>
      <c r="K37" s="36"/>
      <c r="L37" s="36"/>
      <c r="M37" s="36"/>
      <c r="N37" s="36"/>
      <c r="O37" s="36"/>
    </row>
    <row r="38" spans="1:15" ht="20.25" x14ac:dyDescent="0.25">
      <c r="A38" s="54"/>
      <c r="B38" s="54"/>
      <c r="C38" s="56"/>
      <c r="D38" s="56"/>
      <c r="E38" s="36"/>
      <c r="F38" s="36"/>
      <c r="G38" s="36"/>
      <c r="H38" s="36"/>
      <c r="I38" s="36"/>
      <c r="J38" s="36"/>
      <c r="K38" s="36"/>
      <c r="L38" s="36"/>
      <c r="M38" s="36"/>
      <c r="N38" s="36"/>
      <c r="O38" s="36"/>
    </row>
    <row r="39" spans="1:15" ht="20.25" x14ac:dyDescent="0.25">
      <c r="A39" s="54"/>
      <c r="B39" s="54"/>
      <c r="C39" s="56"/>
      <c r="D39" s="56"/>
      <c r="E39" s="36"/>
      <c r="F39" s="36"/>
      <c r="G39" s="36"/>
      <c r="H39" s="36"/>
      <c r="I39" s="36"/>
      <c r="J39" s="36"/>
      <c r="K39" s="36"/>
      <c r="L39" s="36"/>
      <c r="M39" s="36"/>
      <c r="N39" s="36"/>
      <c r="O39" s="36"/>
    </row>
    <row r="40" spans="1:15" ht="20.25" x14ac:dyDescent="0.25">
      <c r="A40" s="54"/>
      <c r="B40" s="54"/>
      <c r="C40" s="56"/>
      <c r="D40" s="56"/>
      <c r="E40" s="36"/>
      <c r="F40" s="36"/>
      <c r="G40" s="36"/>
      <c r="H40" s="36"/>
      <c r="I40" s="36"/>
      <c r="J40" s="36"/>
      <c r="K40" s="36"/>
      <c r="L40" s="36"/>
      <c r="M40" s="36"/>
      <c r="N40" s="36"/>
      <c r="O40" s="36"/>
    </row>
    <row r="41" spans="1:15" ht="20.25" x14ac:dyDescent="0.25">
      <c r="A41" s="54"/>
      <c r="B41" s="54"/>
      <c r="C41" s="56"/>
      <c r="D41" s="56"/>
      <c r="E41" s="36"/>
      <c r="F41" s="36"/>
      <c r="G41" s="36"/>
      <c r="H41" s="36"/>
      <c r="I41" s="36"/>
      <c r="J41" s="36"/>
      <c r="K41" s="36"/>
      <c r="L41" s="36"/>
      <c r="M41" s="36"/>
      <c r="N41" s="36"/>
      <c r="O41" s="36"/>
    </row>
    <row r="42" spans="1:15" ht="20.25" x14ac:dyDescent="0.25">
      <c r="A42" s="54"/>
      <c r="B42" s="54"/>
      <c r="C42" s="56"/>
      <c r="D42" s="56"/>
      <c r="E42" s="36"/>
      <c r="F42" s="36"/>
      <c r="G42" s="36"/>
      <c r="H42" s="36"/>
      <c r="I42" s="36"/>
      <c r="J42" s="36"/>
      <c r="K42" s="36"/>
      <c r="L42" s="36"/>
      <c r="M42" s="36"/>
      <c r="N42" s="36"/>
      <c r="O42" s="36"/>
    </row>
    <row r="43" spans="1:15" ht="20.25" x14ac:dyDescent="0.25">
      <c r="A43" s="54"/>
      <c r="B43" s="54"/>
      <c r="C43" s="56"/>
      <c r="D43" s="56"/>
      <c r="E43" s="36"/>
      <c r="F43" s="36"/>
      <c r="G43" s="36"/>
      <c r="H43" s="36"/>
      <c r="I43" s="36"/>
      <c r="J43" s="36"/>
      <c r="K43" s="36"/>
      <c r="L43" s="36"/>
      <c r="M43" s="36"/>
      <c r="N43" s="36"/>
      <c r="O43" s="36"/>
    </row>
    <row r="44" spans="1:15" ht="20.25" x14ac:dyDescent="0.25">
      <c r="A44" s="54"/>
      <c r="B44" s="54"/>
      <c r="C44" s="56"/>
      <c r="D44" s="56"/>
      <c r="E44" s="36"/>
      <c r="F44" s="36"/>
      <c r="G44" s="36"/>
      <c r="H44" s="36"/>
      <c r="I44" s="36"/>
      <c r="J44" s="36"/>
      <c r="K44" s="36"/>
      <c r="L44" s="36"/>
      <c r="M44" s="36"/>
      <c r="N44" s="36"/>
      <c r="O44" s="36"/>
    </row>
    <row r="45" spans="1:15" ht="20.25" x14ac:dyDescent="0.25">
      <c r="A45" s="54"/>
      <c r="B45" s="54"/>
      <c r="C45" s="56"/>
      <c r="D45" s="56"/>
      <c r="E45" s="36"/>
      <c r="F45" s="36"/>
      <c r="G45" s="36"/>
      <c r="H45" s="36"/>
      <c r="I45" s="36"/>
      <c r="J45" s="36"/>
      <c r="K45" s="36"/>
      <c r="L45" s="36"/>
      <c r="M45" s="36"/>
      <c r="N45" s="36"/>
      <c r="O45" s="36"/>
    </row>
    <row r="46" spans="1:15" ht="20.25" x14ac:dyDescent="0.25">
      <c r="A46" s="54"/>
      <c r="B46" s="54"/>
      <c r="C46" s="56"/>
      <c r="D46" s="56"/>
      <c r="E46" s="36"/>
      <c r="F46" s="36"/>
      <c r="G46" s="36"/>
      <c r="H46" s="36"/>
      <c r="I46" s="36"/>
      <c r="J46" s="36"/>
      <c r="K46" s="36"/>
      <c r="L46" s="36"/>
      <c r="M46" s="36"/>
      <c r="N46" s="36"/>
      <c r="O46" s="36"/>
    </row>
    <row r="47" spans="1:15" ht="20.25" x14ac:dyDescent="0.25">
      <c r="A47" s="54"/>
      <c r="B47" s="54"/>
      <c r="C47" s="56"/>
      <c r="D47" s="56"/>
      <c r="E47" s="36"/>
      <c r="F47" s="36"/>
      <c r="G47" s="36"/>
      <c r="H47" s="36"/>
      <c r="I47" s="36"/>
      <c r="J47" s="36"/>
      <c r="K47" s="36"/>
      <c r="L47" s="36"/>
      <c r="M47" s="36"/>
      <c r="N47" s="36"/>
      <c r="O47" s="36"/>
    </row>
    <row r="48" spans="1:15" ht="20.25" x14ac:dyDescent="0.25">
      <c r="A48" s="54"/>
      <c r="B48" s="54"/>
      <c r="C48" s="56"/>
      <c r="D48" s="56"/>
      <c r="E48" s="36"/>
      <c r="F48" s="36"/>
      <c r="G48" s="36"/>
      <c r="H48" s="36"/>
      <c r="I48" s="36"/>
      <c r="J48" s="36"/>
      <c r="K48" s="36"/>
      <c r="L48" s="36"/>
      <c r="M48" s="36"/>
      <c r="N48" s="36"/>
      <c r="O48" s="36"/>
    </row>
    <row r="49" spans="1:15" ht="20.25" x14ac:dyDescent="0.25">
      <c r="A49" s="54"/>
      <c r="B49" s="54"/>
      <c r="C49" s="56"/>
      <c r="D49" s="56"/>
      <c r="E49" s="36"/>
      <c r="F49" s="36"/>
      <c r="G49" s="36"/>
      <c r="H49" s="36"/>
      <c r="I49" s="36"/>
      <c r="J49" s="36"/>
      <c r="K49" s="36"/>
      <c r="L49" s="36"/>
      <c r="M49" s="36"/>
      <c r="N49" s="36"/>
      <c r="O49" s="36"/>
    </row>
    <row r="50" spans="1:15" ht="20.25" x14ac:dyDescent="0.25">
      <c r="A50" s="54"/>
      <c r="B50" s="54"/>
      <c r="C50" s="56"/>
      <c r="D50" s="56"/>
      <c r="E50" s="36"/>
      <c r="F50" s="36"/>
      <c r="G50" s="36"/>
      <c r="H50" s="36"/>
      <c r="I50" s="36"/>
      <c r="J50" s="36"/>
      <c r="K50" s="36"/>
      <c r="L50" s="36"/>
      <c r="M50" s="36"/>
      <c r="N50" s="36"/>
      <c r="O50" s="36"/>
    </row>
    <row r="51" spans="1:15" ht="20.25" x14ac:dyDescent="0.25">
      <c r="A51" s="54"/>
      <c r="B51" s="54"/>
      <c r="C51" s="56"/>
      <c r="D51" s="56"/>
      <c r="E51" s="36"/>
      <c r="F51" s="36"/>
      <c r="G51" s="36"/>
      <c r="H51" s="36"/>
      <c r="I51" s="36"/>
      <c r="J51" s="36"/>
      <c r="K51" s="36"/>
      <c r="L51" s="36"/>
      <c r="M51" s="36"/>
      <c r="N51" s="36"/>
      <c r="O51" s="36"/>
    </row>
    <row r="52" spans="1:15" ht="20.25" x14ac:dyDescent="0.25">
      <c r="A52" s="54"/>
      <c r="B52" s="15"/>
      <c r="C52" s="20"/>
      <c r="D52" s="20"/>
    </row>
    <row r="53" spans="1:15" ht="20.25" x14ac:dyDescent="0.25">
      <c r="A53" s="54"/>
      <c r="B53" s="15"/>
      <c r="C53" s="20"/>
      <c r="D53" s="20"/>
    </row>
    <row r="54" spans="1:15" ht="20.25" x14ac:dyDescent="0.25">
      <c r="A54" s="54"/>
      <c r="B54" s="15"/>
      <c r="C54" s="20"/>
      <c r="D54" s="20"/>
    </row>
    <row r="55" spans="1:15" ht="20.25" x14ac:dyDescent="0.25">
      <c r="A55" s="54"/>
      <c r="B55" s="15"/>
      <c r="C55" s="20"/>
      <c r="D55" s="20"/>
    </row>
    <row r="56" spans="1:15" ht="20.25" x14ac:dyDescent="0.25">
      <c r="A56" s="54"/>
      <c r="B56" s="15"/>
      <c r="C56" s="20"/>
      <c r="D56" s="20"/>
    </row>
    <row r="57" spans="1:15" ht="20.25" x14ac:dyDescent="0.25">
      <c r="A57" s="54"/>
      <c r="B57" s="15"/>
      <c r="C57" s="20"/>
      <c r="D57" s="20"/>
    </row>
    <row r="58" spans="1:15" ht="20.25" x14ac:dyDescent="0.25">
      <c r="A58" s="54"/>
      <c r="B58" s="15"/>
      <c r="C58" s="20"/>
      <c r="D58" s="20"/>
    </row>
    <row r="59" spans="1:15" ht="20.25" x14ac:dyDescent="0.25">
      <c r="A59" s="54"/>
      <c r="B59" s="15"/>
      <c r="C59" s="20"/>
      <c r="D59" s="20"/>
    </row>
    <row r="60" spans="1:15" ht="20.25" x14ac:dyDescent="0.25">
      <c r="A60" s="54"/>
      <c r="B60" s="15"/>
      <c r="C60" s="20"/>
      <c r="D60" s="20"/>
    </row>
    <row r="61" spans="1:15" ht="20.25" x14ac:dyDescent="0.25">
      <c r="A61" s="54"/>
      <c r="B61" s="15"/>
      <c r="C61" s="20"/>
      <c r="D61" s="20"/>
    </row>
    <row r="62" spans="1:15" ht="20.25" x14ac:dyDescent="0.25">
      <c r="A62" s="54"/>
      <c r="B62" s="15"/>
      <c r="C62" s="20"/>
      <c r="D62" s="20"/>
    </row>
    <row r="63" spans="1:15" ht="20.25" x14ac:dyDescent="0.25">
      <c r="A63" s="54"/>
      <c r="B63" s="15"/>
      <c r="C63" s="20"/>
      <c r="D63" s="20"/>
    </row>
    <row r="64" spans="1:15" ht="20.25" x14ac:dyDescent="0.25">
      <c r="A64" s="54"/>
      <c r="B64" s="15"/>
      <c r="C64" s="20"/>
      <c r="D64" s="20"/>
    </row>
    <row r="65" spans="1:4" ht="20.25" x14ac:dyDescent="0.25">
      <c r="A65" s="54"/>
      <c r="B65" s="15"/>
      <c r="C65" s="20"/>
      <c r="D65" s="20"/>
    </row>
    <row r="66" spans="1:4" ht="20.25" x14ac:dyDescent="0.25">
      <c r="A66" s="54"/>
      <c r="B66" s="15"/>
      <c r="C66" s="20"/>
      <c r="D66" s="20"/>
    </row>
    <row r="67" spans="1:4" ht="20.25" x14ac:dyDescent="0.25">
      <c r="A67" s="54"/>
      <c r="B67" s="15"/>
      <c r="C67" s="20"/>
      <c r="D67" s="20"/>
    </row>
    <row r="68" spans="1:4" ht="20.25" x14ac:dyDescent="0.25">
      <c r="A68" s="54"/>
      <c r="B68" s="15"/>
      <c r="C68" s="20"/>
      <c r="D68" s="20"/>
    </row>
    <row r="69" spans="1:4" ht="20.25" x14ac:dyDescent="0.25">
      <c r="A69" s="54"/>
      <c r="B69" s="15"/>
      <c r="C69" s="20"/>
      <c r="D69" s="20"/>
    </row>
    <row r="70" spans="1:4" ht="20.25" x14ac:dyDescent="0.25">
      <c r="A70" s="54"/>
      <c r="B70" s="15"/>
      <c r="C70" s="20"/>
      <c r="D70" s="20"/>
    </row>
    <row r="71" spans="1:4" ht="20.25" x14ac:dyDescent="0.25">
      <c r="A71" s="54"/>
      <c r="B71" s="15"/>
      <c r="C71" s="20"/>
      <c r="D71" s="20"/>
    </row>
    <row r="72" spans="1:4" ht="20.25" x14ac:dyDescent="0.25">
      <c r="A72" s="54"/>
      <c r="B72" s="15"/>
      <c r="C72" s="20"/>
      <c r="D72" s="20"/>
    </row>
    <row r="73" spans="1:4" ht="20.25" x14ac:dyDescent="0.25">
      <c r="A73" s="54"/>
      <c r="B73" s="15"/>
      <c r="C73" s="20"/>
      <c r="D73" s="20"/>
    </row>
    <row r="74" spans="1:4" ht="20.25" x14ac:dyDescent="0.25">
      <c r="A74" s="54"/>
      <c r="B74" s="15"/>
      <c r="C74" s="20"/>
      <c r="D74" s="20"/>
    </row>
    <row r="75" spans="1:4" ht="20.25" x14ac:dyDescent="0.25">
      <c r="A75" s="54"/>
      <c r="B75" s="15"/>
      <c r="C75" s="20"/>
      <c r="D75" s="20"/>
    </row>
    <row r="76" spans="1:4" ht="20.25" x14ac:dyDescent="0.25">
      <c r="A76" s="54"/>
      <c r="B76" s="15"/>
      <c r="C76" s="20"/>
      <c r="D76" s="20"/>
    </row>
    <row r="77" spans="1:4" ht="20.25" x14ac:dyDescent="0.25">
      <c r="A77" s="54"/>
      <c r="B77" s="15"/>
      <c r="C77" s="20"/>
      <c r="D77" s="20"/>
    </row>
    <row r="78" spans="1:4" ht="20.25" x14ac:dyDescent="0.25">
      <c r="A78" s="54"/>
      <c r="B78" s="15"/>
      <c r="C78" s="20"/>
      <c r="D78" s="20"/>
    </row>
    <row r="79" spans="1:4" ht="20.25" x14ac:dyDescent="0.25">
      <c r="A79" s="54"/>
      <c r="B79" s="15"/>
      <c r="C79" s="20"/>
      <c r="D79" s="20"/>
    </row>
    <row r="80" spans="1:4" ht="20.25" x14ac:dyDescent="0.25">
      <c r="A80" s="54"/>
      <c r="B80" s="15"/>
      <c r="C80" s="20"/>
      <c r="D80" s="20"/>
    </row>
    <row r="81" spans="1:4" ht="20.25" x14ac:dyDescent="0.25">
      <c r="A81" s="54"/>
      <c r="B81" s="15"/>
      <c r="C81" s="20"/>
      <c r="D81" s="20"/>
    </row>
    <row r="82" spans="1:4" ht="20.25" x14ac:dyDescent="0.25">
      <c r="A82" s="54"/>
      <c r="B82" s="15"/>
      <c r="C82" s="20"/>
      <c r="D82" s="20"/>
    </row>
    <row r="83" spans="1:4" ht="20.25" x14ac:dyDescent="0.25">
      <c r="A83" s="54"/>
      <c r="B83" s="15"/>
      <c r="C83" s="20"/>
      <c r="D83" s="20"/>
    </row>
    <row r="84" spans="1:4" ht="20.25" x14ac:dyDescent="0.25">
      <c r="A84" s="54"/>
      <c r="B84" s="15"/>
      <c r="C84" s="20"/>
      <c r="D84" s="20"/>
    </row>
    <row r="85" spans="1:4" ht="20.25" x14ac:dyDescent="0.25">
      <c r="A85" s="54"/>
      <c r="B85" s="15"/>
      <c r="C85" s="20"/>
      <c r="D85" s="20"/>
    </row>
    <row r="86" spans="1:4" ht="20.25" x14ac:dyDescent="0.25">
      <c r="A86" s="54"/>
      <c r="B86" s="15"/>
      <c r="C86" s="20"/>
      <c r="D86" s="20"/>
    </row>
    <row r="87" spans="1:4" ht="20.25" x14ac:dyDescent="0.25">
      <c r="A87" s="54"/>
      <c r="B87" s="15"/>
      <c r="C87" s="20"/>
      <c r="D87" s="20"/>
    </row>
    <row r="88" spans="1:4" ht="20.25" x14ac:dyDescent="0.25">
      <c r="A88" s="54"/>
      <c r="B88" s="15"/>
      <c r="C88" s="20"/>
      <c r="D88" s="20"/>
    </row>
    <row r="89" spans="1:4" ht="20.25" x14ac:dyDescent="0.25">
      <c r="A89" s="54"/>
      <c r="B89" s="15"/>
      <c r="C89" s="20"/>
      <c r="D89" s="20"/>
    </row>
    <row r="90" spans="1:4" ht="20.25" x14ac:dyDescent="0.25">
      <c r="A90" s="54"/>
      <c r="B90" s="15"/>
      <c r="C90" s="20"/>
      <c r="D90" s="20"/>
    </row>
    <row r="91" spans="1:4" ht="20.25" x14ac:dyDescent="0.25">
      <c r="A91" s="54"/>
      <c r="B91" s="15"/>
      <c r="C91" s="20"/>
      <c r="D91" s="20"/>
    </row>
    <row r="92" spans="1:4" ht="20.25" x14ac:dyDescent="0.25">
      <c r="A92" s="54"/>
      <c r="B92" s="15"/>
      <c r="C92" s="20"/>
      <c r="D92" s="20"/>
    </row>
    <row r="93" spans="1:4" ht="20.25" x14ac:dyDescent="0.25">
      <c r="A93" s="54"/>
      <c r="B93" s="15"/>
      <c r="C93" s="20"/>
      <c r="D93" s="20"/>
    </row>
    <row r="94" spans="1:4" ht="20.25" x14ac:dyDescent="0.25">
      <c r="A94" s="54"/>
      <c r="B94" s="15"/>
      <c r="C94" s="20"/>
      <c r="D94" s="20"/>
    </row>
    <row r="95" spans="1:4" ht="20.25" x14ac:dyDescent="0.25">
      <c r="A95" s="54"/>
      <c r="B95" s="15"/>
      <c r="C95" s="20"/>
      <c r="D95" s="20"/>
    </row>
    <row r="96" spans="1:4" ht="20.25" x14ac:dyDescent="0.25">
      <c r="A96" s="54"/>
      <c r="B96" s="15"/>
      <c r="C96" s="20"/>
      <c r="D96" s="20"/>
    </row>
    <row r="97" spans="1:4" ht="20.25" x14ac:dyDescent="0.25">
      <c r="A97" s="54"/>
      <c r="B97" s="15"/>
      <c r="C97" s="20"/>
      <c r="D97" s="20"/>
    </row>
    <row r="98" spans="1:4" ht="20.25" x14ac:dyDescent="0.25">
      <c r="A98" s="54"/>
      <c r="B98" s="15"/>
      <c r="C98" s="20"/>
      <c r="D98" s="20"/>
    </row>
    <row r="99" spans="1:4" ht="20.25" x14ac:dyDescent="0.25">
      <c r="A99" s="54"/>
      <c r="B99" s="15"/>
      <c r="C99" s="20"/>
      <c r="D99" s="20"/>
    </row>
    <row r="100" spans="1:4" ht="20.25" x14ac:dyDescent="0.25">
      <c r="A100" s="54"/>
      <c r="B100" s="15"/>
      <c r="C100" s="20"/>
      <c r="D100" s="20"/>
    </row>
    <row r="101" spans="1:4" ht="20.25" x14ac:dyDescent="0.25">
      <c r="A101" s="54"/>
      <c r="B101" s="15"/>
      <c r="C101" s="20"/>
      <c r="D101" s="20"/>
    </row>
    <row r="102" spans="1:4" ht="20.25" x14ac:dyDescent="0.25">
      <c r="A102" s="54"/>
      <c r="B102" s="15"/>
      <c r="C102" s="20"/>
      <c r="D102" s="20"/>
    </row>
    <row r="103" spans="1:4" ht="20.25" x14ac:dyDescent="0.25">
      <c r="A103" s="54"/>
      <c r="B103" s="15"/>
      <c r="C103" s="20"/>
      <c r="D103" s="20"/>
    </row>
    <row r="104" spans="1:4" ht="20.25" x14ac:dyDescent="0.25">
      <c r="A104" s="54"/>
      <c r="B104" s="15"/>
      <c r="C104" s="20"/>
      <c r="D104" s="20"/>
    </row>
    <row r="105" spans="1:4" ht="20.25" x14ac:dyDescent="0.25">
      <c r="A105" s="54"/>
      <c r="B105" s="15"/>
      <c r="C105" s="20"/>
      <c r="D105" s="20"/>
    </row>
    <row r="106" spans="1:4" ht="20.25" x14ac:dyDescent="0.25">
      <c r="A106" s="54"/>
      <c r="B106" s="15"/>
      <c r="C106" s="20"/>
      <c r="D106" s="20"/>
    </row>
    <row r="107" spans="1:4" ht="20.25" x14ac:dyDescent="0.25">
      <c r="A107" s="54"/>
      <c r="B107" s="15"/>
      <c r="C107" s="20"/>
      <c r="D107" s="20"/>
    </row>
    <row r="108" spans="1:4" ht="20.25" x14ac:dyDescent="0.25">
      <c r="A108" s="54"/>
      <c r="B108" s="15"/>
      <c r="C108" s="20"/>
      <c r="D108" s="20"/>
    </row>
    <row r="109" spans="1:4" ht="20.25" x14ac:dyDescent="0.25">
      <c r="A109" s="54"/>
      <c r="B109" s="15"/>
      <c r="C109" s="20"/>
      <c r="D109" s="20"/>
    </row>
    <row r="110" spans="1:4" ht="20.25" x14ac:dyDescent="0.25">
      <c r="A110" s="54"/>
      <c r="B110" s="15"/>
      <c r="C110" s="20"/>
      <c r="D110" s="20"/>
    </row>
    <row r="111" spans="1:4" ht="20.25" x14ac:dyDescent="0.25">
      <c r="A111" s="54"/>
      <c r="B111" s="15"/>
      <c r="C111" s="20"/>
      <c r="D111" s="20"/>
    </row>
    <row r="112" spans="1:4" ht="20.25" x14ac:dyDescent="0.25">
      <c r="A112" s="54"/>
      <c r="B112" s="15"/>
      <c r="C112" s="20"/>
      <c r="D112" s="20"/>
    </row>
    <row r="113" spans="1:4" ht="20.25" x14ac:dyDescent="0.25">
      <c r="A113" s="54"/>
      <c r="B113" s="15"/>
      <c r="C113" s="20"/>
      <c r="D113" s="20"/>
    </row>
    <row r="114" spans="1:4" ht="20.25" x14ac:dyDescent="0.25">
      <c r="A114" s="54"/>
      <c r="B114" s="15"/>
      <c r="C114" s="20"/>
      <c r="D114" s="20"/>
    </row>
    <row r="115" spans="1:4" ht="20.25" x14ac:dyDescent="0.25">
      <c r="A115" s="54"/>
      <c r="B115" s="15"/>
      <c r="C115" s="20"/>
      <c r="D115" s="20"/>
    </row>
    <row r="116" spans="1:4" ht="20.25" x14ac:dyDescent="0.25">
      <c r="A116" s="54"/>
      <c r="B116" s="15"/>
      <c r="C116" s="20"/>
      <c r="D116" s="20"/>
    </row>
    <row r="117" spans="1:4" ht="20.25" x14ac:dyDescent="0.25">
      <c r="A117" s="54"/>
      <c r="B117" s="15"/>
      <c r="C117" s="20"/>
      <c r="D117" s="20"/>
    </row>
    <row r="118" spans="1:4" ht="20.25" x14ac:dyDescent="0.25">
      <c r="A118" s="54"/>
      <c r="B118" s="15"/>
      <c r="C118" s="20"/>
      <c r="D118" s="20"/>
    </row>
    <row r="119" spans="1:4" ht="20.25" x14ac:dyDescent="0.25">
      <c r="A119" s="54"/>
      <c r="B119" s="15"/>
      <c r="C119" s="20"/>
      <c r="D119" s="20"/>
    </row>
    <row r="120" spans="1:4" ht="20.25" x14ac:dyDescent="0.25">
      <c r="A120" s="54"/>
      <c r="B120" s="15"/>
      <c r="C120" s="20"/>
      <c r="D120" s="20"/>
    </row>
    <row r="121" spans="1:4" ht="20.25" x14ac:dyDescent="0.25">
      <c r="A121" s="54"/>
      <c r="B121" s="15"/>
      <c r="C121" s="20"/>
      <c r="D121" s="20"/>
    </row>
    <row r="122" spans="1:4" ht="20.25" x14ac:dyDescent="0.25">
      <c r="A122" s="54"/>
      <c r="B122" s="15"/>
      <c r="C122" s="20"/>
      <c r="D122" s="20"/>
    </row>
    <row r="123" spans="1:4" ht="20.25" x14ac:dyDescent="0.25">
      <c r="A123" s="54"/>
      <c r="B123" s="15"/>
      <c r="C123" s="20"/>
      <c r="D123" s="20"/>
    </row>
    <row r="124" spans="1:4" ht="20.25" x14ac:dyDescent="0.25">
      <c r="A124" s="54"/>
      <c r="B124" s="15"/>
      <c r="C124" s="20"/>
      <c r="D124" s="20"/>
    </row>
    <row r="125" spans="1:4" ht="20.25" x14ac:dyDescent="0.25">
      <c r="A125" s="54"/>
      <c r="B125" s="15"/>
      <c r="C125" s="20"/>
      <c r="D125" s="20"/>
    </row>
    <row r="126" spans="1:4" ht="20.25" x14ac:dyDescent="0.25">
      <c r="A126" s="54"/>
      <c r="B126" s="15"/>
      <c r="C126" s="20"/>
      <c r="D126" s="20"/>
    </row>
    <row r="127" spans="1:4" ht="20.25" x14ac:dyDescent="0.25">
      <c r="A127" s="54"/>
      <c r="B127" s="15"/>
      <c r="C127" s="20"/>
      <c r="D127" s="20"/>
    </row>
    <row r="128" spans="1:4" ht="20.25" x14ac:dyDescent="0.25">
      <c r="A128" s="54"/>
      <c r="B128" s="15"/>
      <c r="C128" s="20"/>
      <c r="D128" s="20"/>
    </row>
    <row r="129" spans="1:4" ht="20.25" x14ac:dyDescent="0.25">
      <c r="A129" s="54"/>
      <c r="B129" s="15"/>
      <c r="C129" s="20"/>
      <c r="D129" s="20"/>
    </row>
    <row r="130" spans="1:4" ht="20.25" x14ac:dyDescent="0.25">
      <c r="A130" s="54"/>
      <c r="B130" s="15"/>
      <c r="C130" s="20"/>
      <c r="D130" s="20"/>
    </row>
    <row r="131" spans="1:4" ht="20.25" x14ac:dyDescent="0.25">
      <c r="A131" s="54"/>
      <c r="B131" s="15"/>
      <c r="C131" s="20"/>
      <c r="D131" s="20"/>
    </row>
    <row r="132" spans="1:4" ht="20.25" x14ac:dyDescent="0.25">
      <c r="A132" s="54"/>
      <c r="B132" s="15"/>
      <c r="C132" s="20"/>
      <c r="D132" s="20"/>
    </row>
    <row r="133" spans="1:4" ht="20.25" x14ac:dyDescent="0.25">
      <c r="A133" s="54"/>
      <c r="B133" s="15"/>
      <c r="C133" s="20"/>
      <c r="D133" s="20"/>
    </row>
    <row r="134" spans="1:4" ht="20.25" x14ac:dyDescent="0.25">
      <c r="A134" s="54"/>
      <c r="B134" s="15"/>
      <c r="C134" s="20"/>
      <c r="D134" s="20"/>
    </row>
    <row r="135" spans="1:4" ht="20.25" x14ac:dyDescent="0.25">
      <c r="A135" s="54"/>
      <c r="B135" s="15"/>
      <c r="C135" s="20"/>
      <c r="D135" s="20"/>
    </row>
    <row r="136" spans="1:4" ht="20.25" x14ac:dyDescent="0.25">
      <c r="A136" s="54"/>
      <c r="B136" s="15"/>
      <c r="C136" s="20"/>
      <c r="D136" s="20"/>
    </row>
    <row r="137" spans="1:4" ht="20.25" x14ac:dyDescent="0.25">
      <c r="A137" s="54"/>
      <c r="B137" s="15"/>
      <c r="C137" s="20"/>
      <c r="D137" s="20"/>
    </row>
    <row r="138" spans="1:4" ht="20.25" x14ac:dyDescent="0.25">
      <c r="A138" s="54"/>
      <c r="B138" s="15"/>
      <c r="C138" s="20"/>
      <c r="D138" s="20"/>
    </row>
    <row r="139" spans="1:4" ht="20.25" x14ac:dyDescent="0.25">
      <c r="A139" s="54"/>
      <c r="B139" s="15"/>
      <c r="C139" s="20"/>
      <c r="D139" s="20"/>
    </row>
    <row r="140" spans="1:4" ht="20.25" x14ac:dyDescent="0.25">
      <c r="A140" s="54"/>
      <c r="B140" s="15"/>
      <c r="C140" s="20"/>
      <c r="D140" s="20"/>
    </row>
    <row r="141" spans="1:4" ht="20.25" x14ac:dyDescent="0.25">
      <c r="A141" s="54"/>
      <c r="B141" s="15"/>
      <c r="C141" s="20"/>
      <c r="D141" s="20"/>
    </row>
    <row r="142" spans="1:4" ht="20.25" x14ac:dyDescent="0.25">
      <c r="A142" s="54"/>
      <c r="B142" s="15"/>
      <c r="C142" s="20"/>
      <c r="D142" s="20"/>
    </row>
    <row r="143" spans="1:4" ht="20.25" x14ac:dyDescent="0.25">
      <c r="A143" s="54"/>
      <c r="B143" s="15"/>
      <c r="C143" s="20"/>
      <c r="D143" s="20"/>
    </row>
    <row r="144" spans="1:4" ht="20.25" x14ac:dyDescent="0.25">
      <c r="A144" s="54"/>
      <c r="B144" s="15"/>
      <c r="C144" s="20"/>
      <c r="D144" s="20"/>
    </row>
    <row r="145" spans="1:4" ht="20.25" x14ac:dyDescent="0.25">
      <c r="A145" s="54"/>
      <c r="B145" s="15"/>
      <c r="C145" s="20"/>
      <c r="D145" s="20"/>
    </row>
    <row r="146" spans="1:4" ht="20.25" x14ac:dyDescent="0.25">
      <c r="A146" s="54"/>
      <c r="B146" s="15"/>
      <c r="C146" s="20"/>
      <c r="D146" s="20"/>
    </row>
    <row r="147" spans="1:4" ht="20.25" x14ac:dyDescent="0.25">
      <c r="A147" s="54"/>
      <c r="B147" s="15"/>
      <c r="C147" s="20"/>
      <c r="D147" s="20"/>
    </row>
    <row r="148" spans="1:4" ht="20.25" x14ac:dyDescent="0.25">
      <c r="A148" s="54"/>
      <c r="B148" s="15"/>
      <c r="C148" s="20"/>
      <c r="D148" s="20"/>
    </row>
    <row r="149" spans="1:4" ht="20.25" x14ac:dyDescent="0.25">
      <c r="A149" s="54"/>
      <c r="B149" s="15"/>
      <c r="C149" s="20"/>
      <c r="D149" s="20"/>
    </row>
    <row r="150" spans="1:4" ht="20.25" x14ac:dyDescent="0.25">
      <c r="A150" s="54"/>
      <c r="B150" s="15"/>
      <c r="C150" s="20"/>
      <c r="D150" s="20"/>
    </row>
    <row r="151" spans="1:4" ht="20.25" x14ac:dyDescent="0.25">
      <c r="A151" s="54"/>
      <c r="B151" s="15"/>
      <c r="C151" s="20"/>
      <c r="D151" s="20"/>
    </row>
    <row r="152" spans="1:4" ht="20.25" x14ac:dyDescent="0.25">
      <c r="A152" s="54"/>
      <c r="B152" s="15"/>
      <c r="C152" s="20"/>
      <c r="D152" s="20"/>
    </row>
    <row r="153" spans="1:4" ht="20.25" x14ac:dyDescent="0.25">
      <c r="A153" s="54"/>
      <c r="B153" s="15"/>
      <c r="C153" s="20"/>
      <c r="D153" s="20"/>
    </row>
    <row r="154" spans="1:4" ht="20.25" x14ac:dyDescent="0.25">
      <c r="A154" s="54"/>
      <c r="B154" s="15"/>
      <c r="C154" s="20"/>
      <c r="D154" s="20"/>
    </row>
    <row r="155" spans="1:4" ht="20.25" x14ac:dyDescent="0.25">
      <c r="A155" s="54"/>
      <c r="B155" s="15"/>
      <c r="C155" s="20"/>
      <c r="D155" s="20"/>
    </row>
    <row r="156" spans="1:4" ht="20.25" x14ac:dyDescent="0.25">
      <c r="A156" s="54"/>
      <c r="B156" s="15"/>
      <c r="C156" s="20"/>
      <c r="D156" s="20"/>
    </row>
    <row r="157" spans="1:4" ht="20.25" x14ac:dyDescent="0.25">
      <c r="A157" s="54"/>
      <c r="B157" s="15"/>
      <c r="C157" s="20"/>
      <c r="D157" s="20"/>
    </row>
    <row r="158" spans="1:4" ht="20.25" x14ac:dyDescent="0.25">
      <c r="A158" s="54"/>
      <c r="B158" s="15"/>
      <c r="C158" s="20"/>
      <c r="D158" s="20"/>
    </row>
    <row r="159" spans="1:4" ht="20.25" x14ac:dyDescent="0.25">
      <c r="A159" s="54"/>
      <c r="B159" s="15"/>
      <c r="C159" s="20"/>
      <c r="D159" s="20"/>
    </row>
    <row r="160" spans="1:4" ht="20.25" x14ac:dyDescent="0.25">
      <c r="A160" s="54"/>
      <c r="B160" s="15"/>
      <c r="C160" s="20"/>
      <c r="D160" s="20"/>
    </row>
    <row r="161" spans="1:4" ht="20.25" x14ac:dyDescent="0.25">
      <c r="A161" s="54"/>
      <c r="B161" s="15"/>
      <c r="C161" s="20"/>
      <c r="D161" s="20"/>
    </row>
    <row r="162" spans="1:4" ht="20.25" x14ac:dyDescent="0.25">
      <c r="A162" s="54"/>
      <c r="B162" s="15"/>
      <c r="C162" s="20"/>
      <c r="D162" s="20"/>
    </row>
    <row r="163" spans="1:4" ht="20.25" x14ac:dyDescent="0.25">
      <c r="A163" s="54"/>
      <c r="B163" s="15"/>
      <c r="C163" s="20"/>
      <c r="D163" s="20"/>
    </row>
    <row r="164" spans="1:4" ht="20.25" x14ac:dyDescent="0.25">
      <c r="A164" s="54"/>
      <c r="B164" s="15"/>
      <c r="C164" s="20"/>
      <c r="D164" s="20"/>
    </row>
    <row r="165" spans="1:4" ht="20.25" x14ac:dyDescent="0.25">
      <c r="A165" s="54"/>
      <c r="B165" s="15"/>
      <c r="C165" s="20"/>
      <c r="D165" s="20"/>
    </row>
    <row r="166" spans="1:4" ht="20.25" x14ac:dyDescent="0.25">
      <c r="A166" s="54"/>
      <c r="B166" s="15"/>
      <c r="C166" s="20"/>
      <c r="D166" s="20"/>
    </row>
    <row r="167" spans="1:4" ht="20.25" x14ac:dyDescent="0.25">
      <c r="A167" s="54"/>
      <c r="B167" s="15"/>
      <c r="C167" s="20"/>
      <c r="D167" s="20"/>
    </row>
    <row r="168" spans="1:4" ht="20.25" x14ac:dyDescent="0.25">
      <c r="A168" s="54"/>
      <c r="B168" s="15"/>
      <c r="C168" s="20"/>
      <c r="D168" s="20"/>
    </row>
    <row r="169" spans="1:4" ht="20.25" x14ac:dyDescent="0.25">
      <c r="A169" s="54"/>
      <c r="B169" s="15"/>
      <c r="C169" s="20"/>
      <c r="D169" s="20"/>
    </row>
    <row r="170" spans="1:4" ht="20.25" x14ac:dyDescent="0.25">
      <c r="A170" s="54"/>
      <c r="B170" s="15"/>
      <c r="C170" s="20"/>
      <c r="D170" s="20"/>
    </row>
    <row r="171" spans="1:4" ht="20.25" x14ac:dyDescent="0.25">
      <c r="A171" s="54"/>
      <c r="B171" s="15"/>
      <c r="C171" s="20"/>
      <c r="D171" s="20"/>
    </row>
    <row r="172" spans="1:4" ht="20.25" x14ac:dyDescent="0.25">
      <c r="A172" s="54"/>
      <c r="B172" s="15"/>
      <c r="C172" s="20"/>
      <c r="D172" s="20"/>
    </row>
    <row r="173" spans="1:4" ht="20.25" x14ac:dyDescent="0.25">
      <c r="A173" s="54"/>
      <c r="B173" s="15"/>
      <c r="C173" s="20"/>
      <c r="D173" s="20"/>
    </row>
    <row r="174" spans="1:4" ht="20.25" x14ac:dyDescent="0.25">
      <c r="A174" s="54"/>
      <c r="B174" s="15"/>
      <c r="C174" s="20"/>
      <c r="D174" s="20"/>
    </row>
    <row r="175" spans="1:4" ht="20.25" x14ac:dyDescent="0.25">
      <c r="A175" s="54"/>
      <c r="B175" s="15"/>
      <c r="C175" s="20"/>
      <c r="D175" s="20"/>
    </row>
    <row r="176" spans="1:4" ht="20.25" x14ac:dyDescent="0.25">
      <c r="A176" s="54"/>
      <c r="B176" s="15"/>
      <c r="C176" s="20"/>
      <c r="D176" s="20"/>
    </row>
    <row r="177" spans="1:4" ht="20.25" x14ac:dyDescent="0.25">
      <c r="A177" s="54"/>
      <c r="B177" s="15"/>
      <c r="C177" s="20"/>
      <c r="D177" s="20"/>
    </row>
    <row r="178" spans="1:4" ht="20.25" x14ac:dyDescent="0.25">
      <c r="A178" s="54"/>
      <c r="B178" s="15"/>
      <c r="C178" s="20"/>
      <c r="D178" s="20"/>
    </row>
    <row r="179" spans="1:4" ht="20.25" x14ac:dyDescent="0.25">
      <c r="A179" s="54"/>
      <c r="B179" s="15"/>
      <c r="C179" s="20"/>
      <c r="D179" s="20"/>
    </row>
    <row r="180" spans="1:4" ht="20.25" x14ac:dyDescent="0.25">
      <c r="A180" s="54"/>
      <c r="B180" s="15"/>
      <c r="C180" s="20"/>
      <c r="D180" s="20"/>
    </row>
    <row r="181" spans="1:4" ht="20.25" x14ac:dyDescent="0.25">
      <c r="A181" s="54"/>
      <c r="B181" s="15"/>
      <c r="C181" s="20"/>
      <c r="D181" s="20"/>
    </row>
    <row r="182" spans="1:4" ht="20.25" x14ac:dyDescent="0.25">
      <c r="A182" s="54"/>
      <c r="B182" s="15"/>
      <c r="C182" s="20"/>
      <c r="D182" s="20"/>
    </row>
    <row r="183" spans="1:4" ht="20.25" x14ac:dyDescent="0.25">
      <c r="A183" s="54"/>
      <c r="B183" s="15"/>
      <c r="C183" s="20"/>
      <c r="D183" s="20"/>
    </row>
    <row r="184" spans="1:4" ht="20.25" x14ac:dyDescent="0.25">
      <c r="A184" s="54"/>
      <c r="B184" s="15"/>
      <c r="C184" s="20"/>
      <c r="D184" s="20"/>
    </row>
    <row r="185" spans="1:4" ht="20.25" x14ac:dyDescent="0.25">
      <c r="A185" s="54"/>
      <c r="B185" s="15"/>
      <c r="C185" s="20"/>
      <c r="D185" s="20"/>
    </row>
    <row r="186" spans="1:4" ht="20.25" x14ac:dyDescent="0.25">
      <c r="A186" s="54"/>
      <c r="B186" s="15"/>
      <c r="C186" s="20"/>
      <c r="D186" s="20"/>
    </row>
    <row r="187" spans="1:4" ht="20.25" x14ac:dyDescent="0.25">
      <c r="A187" s="54"/>
      <c r="B187" s="15"/>
      <c r="C187" s="20"/>
      <c r="D187" s="20"/>
    </row>
    <row r="188" spans="1:4" ht="20.25" x14ac:dyDescent="0.25">
      <c r="A188" s="54"/>
      <c r="B188" s="15"/>
      <c r="C188" s="20"/>
      <c r="D188" s="20"/>
    </row>
    <row r="189" spans="1:4" ht="20.25" x14ac:dyDescent="0.25">
      <c r="A189" s="54"/>
      <c r="B189" s="15"/>
      <c r="C189" s="20"/>
      <c r="D189" s="20"/>
    </row>
    <row r="190" spans="1:4" ht="20.25" x14ac:dyDescent="0.25">
      <c r="A190" s="54"/>
      <c r="B190" s="15"/>
      <c r="C190" s="20"/>
      <c r="D190" s="20"/>
    </row>
    <row r="191" spans="1:4" ht="20.25" x14ac:dyDescent="0.25">
      <c r="A191" s="54"/>
      <c r="B191" s="15"/>
      <c r="C191" s="20"/>
      <c r="D191" s="20"/>
    </row>
    <row r="192" spans="1:4" ht="20.25" x14ac:dyDescent="0.25">
      <c r="A192" s="54"/>
      <c r="B192" s="15"/>
      <c r="C192" s="20"/>
      <c r="D192" s="20"/>
    </row>
    <row r="193" spans="1:4" ht="20.25" x14ac:dyDescent="0.25">
      <c r="A193" s="54"/>
      <c r="B193" s="15"/>
      <c r="C193" s="20"/>
      <c r="D193" s="20"/>
    </row>
    <row r="194" spans="1:4" ht="20.25" x14ac:dyDescent="0.25">
      <c r="A194" s="54"/>
      <c r="B194" s="15"/>
      <c r="C194" s="20"/>
      <c r="D194" s="20"/>
    </row>
    <row r="195" spans="1:4" ht="20.25" x14ac:dyDescent="0.25">
      <c r="A195" s="54"/>
      <c r="B195" s="15"/>
      <c r="C195" s="20"/>
      <c r="D195" s="20"/>
    </row>
    <row r="196" spans="1:4" ht="20.25" x14ac:dyDescent="0.25">
      <c r="A196" s="54"/>
      <c r="B196" s="15"/>
      <c r="C196" s="20"/>
      <c r="D196" s="20"/>
    </row>
    <row r="197" spans="1:4" ht="20.25" x14ac:dyDescent="0.25">
      <c r="A197" s="54"/>
      <c r="B197" s="15"/>
      <c r="C197" s="20"/>
      <c r="D197" s="20"/>
    </row>
    <row r="198" spans="1:4" ht="20.25" x14ac:dyDescent="0.25">
      <c r="A198" s="54"/>
      <c r="B198" s="15"/>
      <c r="C198" s="20"/>
      <c r="D198" s="20"/>
    </row>
    <row r="199" spans="1:4" ht="20.25" x14ac:dyDescent="0.25">
      <c r="A199" s="54"/>
      <c r="B199" s="15"/>
      <c r="C199" s="20"/>
      <c r="D199" s="20"/>
    </row>
    <row r="200" spans="1:4" ht="20.25" x14ac:dyDescent="0.25">
      <c r="A200" s="54"/>
      <c r="B200" s="15"/>
      <c r="C200" s="20"/>
      <c r="D200" s="20"/>
    </row>
    <row r="201" spans="1:4" ht="20.25" x14ac:dyDescent="0.25">
      <c r="A201" s="54"/>
      <c r="B201" s="15"/>
      <c r="C201" s="20"/>
      <c r="D201" s="20"/>
    </row>
    <row r="202" spans="1:4" ht="20.25" x14ac:dyDescent="0.25">
      <c r="A202" s="54"/>
      <c r="B202" s="15"/>
      <c r="C202" s="20"/>
      <c r="D202" s="20"/>
    </row>
    <row r="203" spans="1:4" ht="20.25" x14ac:dyDescent="0.25">
      <c r="A203" s="54"/>
      <c r="B203" s="15"/>
      <c r="C203" s="20"/>
      <c r="D203" s="20"/>
    </row>
    <row r="204" spans="1:4" ht="20.25" x14ac:dyDescent="0.25">
      <c r="A204" s="54"/>
      <c r="B204" s="15"/>
      <c r="C204" s="20"/>
      <c r="D204" s="20"/>
    </row>
    <row r="205" spans="1:4" ht="20.25" x14ac:dyDescent="0.25">
      <c r="A205" s="54"/>
      <c r="B205" s="15"/>
      <c r="C205" s="20"/>
      <c r="D205" s="20"/>
    </row>
    <row r="206" spans="1:4" ht="20.25" x14ac:dyDescent="0.25">
      <c r="A206" s="54"/>
      <c r="B206" s="15"/>
      <c r="C206" s="20"/>
      <c r="D206" s="20"/>
    </row>
    <row r="207" spans="1:4" ht="20.25" x14ac:dyDescent="0.25">
      <c r="A207" s="54"/>
      <c r="B207" s="15"/>
      <c r="C207" s="20"/>
      <c r="D207" s="20"/>
    </row>
    <row r="208" spans="1:4" x14ac:dyDescent="0.25">
      <c r="A208" s="36"/>
      <c r="B208" s="15"/>
      <c r="C208" s="15"/>
      <c r="D208" s="15"/>
    </row>
    <row r="209" spans="1:8" ht="20.25" x14ac:dyDescent="0.25">
      <c r="A209" s="36"/>
      <c r="B209" s="16" t="s">
        <v>75</v>
      </c>
      <c r="C209" s="16" t="s">
        <v>126</v>
      </c>
      <c r="D209" s="19" t="s">
        <v>75</v>
      </c>
      <c r="E209" s="19" t="s">
        <v>126</v>
      </c>
    </row>
    <row r="210" spans="1:8" ht="21" x14ac:dyDescent="0.35">
      <c r="A210" s="36"/>
      <c r="B210" s="17" t="s">
        <v>77</v>
      </c>
      <c r="C210" s="17" t="s">
        <v>46</v>
      </c>
      <c r="D210" t="s">
        <v>77</v>
      </c>
      <c r="F210" t="str">
        <f>IF(NOT(ISBLANK(D210)),D210,IF(NOT(ISBLANK(E210)),"     "&amp;E210,FALSE))</f>
        <v>Afectación Económica o presupuestal</v>
      </c>
      <c r="G210" t="s">
        <v>77</v>
      </c>
      <c r="H210" t="str">
        <f>IF(NOT(ISERROR(MATCH(G210,_xlfn.ANCHORARRAY(B221),0))),F223&amp;"Por favor no seleccionar los criterios de impacto",G210)</f>
        <v>❌Por favor no seleccionar los criterios de impacto</v>
      </c>
    </row>
    <row r="211" spans="1:8" ht="21" x14ac:dyDescent="0.35">
      <c r="A211" s="36"/>
      <c r="B211" s="17" t="s">
        <v>77</v>
      </c>
      <c r="C211" s="17" t="s">
        <v>79</v>
      </c>
      <c r="E211" t="s">
        <v>46</v>
      </c>
      <c r="F211" t="str">
        <f t="shared" ref="F211:F221" si="0">IF(NOT(ISBLANK(D211)),D211,IF(NOT(ISBLANK(E211)),"     "&amp;E211,FALSE))</f>
        <v xml:space="preserve">     Afectación menor a 10 SMLMV .</v>
      </c>
    </row>
    <row r="212" spans="1:8" ht="21" x14ac:dyDescent="0.35">
      <c r="A212" s="36"/>
      <c r="B212" s="17" t="s">
        <v>77</v>
      </c>
      <c r="C212" s="17" t="s">
        <v>80</v>
      </c>
      <c r="E212" t="s">
        <v>79</v>
      </c>
      <c r="F212" t="str">
        <f t="shared" si="0"/>
        <v xml:space="preserve">     Entre 10 y 50 SMLMV </v>
      </c>
    </row>
    <row r="213" spans="1:8" ht="21" x14ac:dyDescent="0.35">
      <c r="A213" s="36"/>
      <c r="B213" s="17" t="s">
        <v>77</v>
      </c>
      <c r="C213" s="17" t="s">
        <v>81</v>
      </c>
      <c r="E213" t="s">
        <v>80</v>
      </c>
      <c r="F213" t="str">
        <f t="shared" si="0"/>
        <v xml:space="preserve">     Entre 50 y 100 SMLMV </v>
      </c>
    </row>
    <row r="214" spans="1:8" ht="21" x14ac:dyDescent="0.35">
      <c r="A214" s="36"/>
      <c r="B214" s="17" t="s">
        <v>77</v>
      </c>
      <c r="C214" s="17" t="s">
        <v>82</v>
      </c>
      <c r="E214" t="s">
        <v>81</v>
      </c>
      <c r="F214" t="str">
        <f t="shared" si="0"/>
        <v xml:space="preserve">     Entre 100 y 500 SMLMV </v>
      </c>
    </row>
    <row r="215" spans="1:8" ht="21" x14ac:dyDescent="0.35">
      <c r="A215" s="36"/>
      <c r="B215" s="17" t="s">
        <v>45</v>
      </c>
      <c r="C215" s="17" t="s">
        <v>83</v>
      </c>
      <c r="E215" t="s">
        <v>82</v>
      </c>
      <c r="F215" t="str">
        <f t="shared" si="0"/>
        <v xml:space="preserve">     Mayor a 500 SMLMV </v>
      </c>
    </row>
    <row r="216" spans="1:8" ht="21" x14ac:dyDescent="0.35">
      <c r="A216" s="36"/>
      <c r="B216" s="17" t="s">
        <v>45</v>
      </c>
      <c r="C216" s="17" t="s">
        <v>84</v>
      </c>
      <c r="D216" t="s">
        <v>45</v>
      </c>
      <c r="F216" t="str">
        <f t="shared" si="0"/>
        <v>Pérdida Reputacional</v>
      </c>
    </row>
    <row r="217" spans="1:8" ht="21" x14ac:dyDescent="0.35">
      <c r="A217" s="36"/>
      <c r="B217" s="17" t="s">
        <v>45</v>
      </c>
      <c r="C217" s="17" t="s">
        <v>86</v>
      </c>
      <c r="E217" t="s">
        <v>83</v>
      </c>
      <c r="F217" t="str">
        <f t="shared" si="0"/>
        <v xml:space="preserve">     El riesgo afecta la imagen de alguna área de la organización</v>
      </c>
    </row>
    <row r="218" spans="1:8" ht="21" x14ac:dyDescent="0.35">
      <c r="A218" s="36"/>
      <c r="B218" s="17" t="s">
        <v>45</v>
      </c>
      <c r="C218" s="17" t="s">
        <v>85</v>
      </c>
      <c r="E218" t="s">
        <v>84</v>
      </c>
      <c r="F218" t="str">
        <f t="shared" si="0"/>
        <v xml:space="preserve">     El riesgo afecta la imagen de la entidad internamente, de conocimiento general, nivel interno, de junta dircetiva y accionistas y/o de provedores</v>
      </c>
    </row>
    <row r="219" spans="1:8" ht="21" x14ac:dyDescent="0.35">
      <c r="A219" s="36"/>
      <c r="B219" s="17" t="s">
        <v>45</v>
      </c>
      <c r="C219" s="17" t="s">
        <v>104</v>
      </c>
      <c r="E219" t="s">
        <v>86</v>
      </c>
      <c r="F219" t="str">
        <f t="shared" si="0"/>
        <v xml:space="preserve">     El riesgo afecta la imagen de la entidad con algunos usuarios de relevancia frente al logro de los objetivos</v>
      </c>
    </row>
    <row r="220" spans="1:8" x14ac:dyDescent="0.25">
      <c r="A220" s="36"/>
      <c r="B220" s="18"/>
      <c r="C220" s="18"/>
      <c r="E220" t="s">
        <v>85</v>
      </c>
      <c r="F220" t="str">
        <f t="shared" si="0"/>
        <v xml:space="preserve">     El riesgo afecta la imagen de de la entidad con efecto publicitario sostenido a nivel de sector administrativo, nivel departamental o municipal</v>
      </c>
    </row>
    <row r="221" spans="1:8" x14ac:dyDescent="0.25">
      <c r="A221" s="36"/>
      <c r="B221" s="18" t="str">
        <f t="array" ref="B221:B223">_xlfn.UNIQUE(Tabla1[[#All],[Criterios]])</f>
        <v>Criterios</v>
      </c>
      <c r="C221" s="18"/>
      <c r="E221" t="s">
        <v>104</v>
      </c>
      <c r="F221" t="str">
        <f t="shared" si="0"/>
        <v xml:space="preserve">     El riesgo afecta la imagen de la entidad a nivel nacional, con efecto publicitarios sostenible a nivel país</v>
      </c>
    </row>
    <row r="222" spans="1:8" x14ac:dyDescent="0.25">
      <c r="A222" s="36"/>
      <c r="B222" s="18" t="str">
        <v>Afectación Económica o presupuestal</v>
      </c>
      <c r="C222" s="18"/>
    </row>
    <row r="223" spans="1:8" x14ac:dyDescent="0.25">
      <c r="B223" s="18" t="str">
        <v>Pérdida Reputacional</v>
      </c>
      <c r="C223" s="18"/>
      <c r="F223" s="21" t="s">
        <v>127</v>
      </c>
    </row>
    <row r="224" spans="1:8" x14ac:dyDescent="0.25">
      <c r="B224" s="14"/>
      <c r="C224" s="14"/>
      <c r="F224" s="21" t="s">
        <v>128</v>
      </c>
    </row>
    <row r="225" spans="2:4" x14ac:dyDescent="0.25">
      <c r="B225" s="14"/>
      <c r="C225" s="14"/>
    </row>
    <row r="226" spans="2:4" x14ac:dyDescent="0.25">
      <c r="B226" s="14"/>
      <c r="C226" s="14"/>
    </row>
    <row r="227" spans="2:4" x14ac:dyDescent="0.25">
      <c r="B227" s="14"/>
      <c r="C227" s="14"/>
      <c r="D227" s="14"/>
    </row>
    <row r="228" spans="2:4" x14ac:dyDescent="0.25">
      <c r="B228" s="14"/>
      <c r="C228" s="14"/>
      <c r="D228" s="14"/>
    </row>
    <row r="229" spans="2:4" x14ac:dyDescent="0.25">
      <c r="B229" s="14"/>
      <c r="C229" s="14"/>
      <c r="D229" s="14"/>
    </row>
    <row r="230" spans="2:4" x14ac:dyDescent="0.25">
      <c r="B230" s="14"/>
      <c r="C230" s="14"/>
      <c r="D230" s="14"/>
    </row>
    <row r="231" spans="2:4" x14ac:dyDescent="0.25">
      <c r="B231" s="14"/>
      <c r="C231" s="14"/>
      <c r="D231" s="14"/>
    </row>
    <row r="232" spans="2:4" x14ac:dyDescent="0.25">
      <c r="B232" s="14"/>
      <c r="C232" s="14"/>
      <c r="D232" s="14"/>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7" tint="-0.249977111117893"/>
  </sheetPr>
  <dimension ref="B1:I16"/>
  <sheetViews>
    <sheetView topLeftCell="A8" workbookViewId="0">
      <selection activeCell="K19" sqref="K19"/>
    </sheetView>
  </sheetViews>
  <sheetFormatPr baseColWidth="10" defaultColWidth="14.28515625" defaultRowHeight="12.75" x14ac:dyDescent="0.2"/>
  <cols>
    <col min="1" max="2" width="14.28515625" style="41"/>
    <col min="3" max="3" width="17" style="41" customWidth="1"/>
    <col min="4" max="4" width="23.7109375" style="41" customWidth="1"/>
    <col min="5" max="5" width="46" style="41" customWidth="1"/>
    <col min="6" max="7" width="14.28515625" style="41"/>
    <col min="8" max="8" width="15.42578125" style="41" customWidth="1"/>
    <col min="9" max="9" width="15.85546875" style="41" customWidth="1"/>
    <col min="10" max="11" width="14.28515625" style="41" customWidth="1"/>
    <col min="12" max="16384" width="14.28515625" style="41"/>
  </cols>
  <sheetData>
    <row r="1" spans="2:9" ht="24" customHeight="1" thickBot="1" x14ac:dyDescent="0.25">
      <c r="B1" s="972" t="s">
        <v>65</v>
      </c>
      <c r="C1" s="973"/>
      <c r="D1" s="973"/>
      <c r="E1" s="973"/>
      <c r="F1" s="974"/>
    </row>
    <row r="2" spans="2:9" ht="16.5" thickBot="1" x14ac:dyDescent="0.3">
      <c r="B2" s="42"/>
      <c r="C2" s="42"/>
      <c r="D2" s="42"/>
      <c r="E2" s="42"/>
      <c r="F2" s="42"/>
    </row>
    <row r="3" spans="2:9" ht="42" customHeight="1" thickBot="1" x14ac:dyDescent="0.25">
      <c r="B3" s="976" t="s">
        <v>52</v>
      </c>
      <c r="C3" s="977"/>
      <c r="D3" s="978"/>
      <c r="E3" s="52" t="s">
        <v>53</v>
      </c>
      <c r="F3" s="53" t="s">
        <v>54</v>
      </c>
    </row>
    <row r="4" spans="2:9" ht="32.25" thickBot="1" x14ac:dyDescent="0.25">
      <c r="B4" s="979" t="s">
        <v>55</v>
      </c>
      <c r="C4" s="981" t="s">
        <v>11</v>
      </c>
      <c r="D4" s="43" t="s">
        <v>12</v>
      </c>
      <c r="E4" s="44" t="s">
        <v>56</v>
      </c>
      <c r="F4" s="45">
        <v>0.25</v>
      </c>
    </row>
    <row r="5" spans="2:9" ht="48" thickBot="1" x14ac:dyDescent="0.25">
      <c r="B5" s="980"/>
      <c r="C5" s="982"/>
      <c r="D5" s="46" t="s">
        <v>13</v>
      </c>
      <c r="E5" s="47" t="s">
        <v>57</v>
      </c>
      <c r="F5" s="48">
        <v>0.15</v>
      </c>
      <c r="H5" s="190" t="s">
        <v>440</v>
      </c>
      <c r="I5" s="191" t="s">
        <v>438</v>
      </c>
    </row>
    <row r="6" spans="2:9" ht="48" thickBot="1" x14ac:dyDescent="0.25">
      <c r="B6" s="980"/>
      <c r="C6" s="983"/>
      <c r="D6" s="46" t="s">
        <v>14</v>
      </c>
      <c r="E6" s="47" t="s">
        <v>58</v>
      </c>
      <c r="F6" s="48">
        <v>0.1</v>
      </c>
      <c r="H6" s="192" t="s">
        <v>430</v>
      </c>
      <c r="I6" s="193" t="s">
        <v>434</v>
      </c>
    </row>
    <row r="7" spans="2:9" ht="63.75" thickBot="1" x14ac:dyDescent="0.25">
      <c r="B7" s="980"/>
      <c r="C7" s="984" t="s">
        <v>15</v>
      </c>
      <c r="D7" s="46" t="s">
        <v>8</v>
      </c>
      <c r="E7" s="47" t="s">
        <v>59</v>
      </c>
      <c r="F7" s="48">
        <v>0.25</v>
      </c>
      <c r="H7" s="192" t="s">
        <v>431</v>
      </c>
      <c r="I7" s="193" t="s">
        <v>439</v>
      </c>
    </row>
    <row r="8" spans="2:9" ht="32.25" thickBot="1" x14ac:dyDescent="0.25">
      <c r="B8" s="980"/>
      <c r="C8" s="984"/>
      <c r="D8" s="46" t="s">
        <v>7</v>
      </c>
      <c r="E8" s="47" t="s">
        <v>60</v>
      </c>
      <c r="F8" s="48">
        <v>0.15</v>
      </c>
      <c r="H8" s="192" t="s">
        <v>432</v>
      </c>
      <c r="I8" s="193" t="s">
        <v>433</v>
      </c>
    </row>
    <row r="9" spans="2:9" ht="48" customHeight="1" x14ac:dyDescent="0.2">
      <c r="B9" s="980" t="s">
        <v>139</v>
      </c>
      <c r="C9" s="986" t="s">
        <v>16</v>
      </c>
      <c r="D9" s="46" t="s">
        <v>17</v>
      </c>
      <c r="E9" s="47" t="s">
        <v>61</v>
      </c>
      <c r="F9" s="194">
        <v>0.25</v>
      </c>
    </row>
    <row r="10" spans="2:9" ht="63" x14ac:dyDescent="0.2">
      <c r="B10" s="980"/>
      <c r="C10" s="983"/>
      <c r="D10" s="46" t="s">
        <v>18</v>
      </c>
      <c r="E10" s="47" t="s">
        <v>62</v>
      </c>
      <c r="F10" s="194">
        <v>0.15</v>
      </c>
    </row>
    <row r="11" spans="2:9" ht="47.25" x14ac:dyDescent="0.2">
      <c r="B11" s="980"/>
      <c r="C11" s="986" t="s">
        <v>19</v>
      </c>
      <c r="D11" s="46" t="s">
        <v>20</v>
      </c>
      <c r="E11" s="47" t="s">
        <v>63</v>
      </c>
      <c r="F11" s="194">
        <v>0.15</v>
      </c>
    </row>
    <row r="12" spans="2:9" ht="47.25" x14ac:dyDescent="0.2">
      <c r="B12" s="980"/>
      <c r="C12" s="983"/>
      <c r="D12" s="46" t="s">
        <v>21</v>
      </c>
      <c r="E12" s="47" t="s">
        <v>64</v>
      </c>
      <c r="F12" s="194">
        <v>0.1</v>
      </c>
    </row>
    <row r="13" spans="2:9" ht="31.5" x14ac:dyDescent="0.2">
      <c r="B13" s="980"/>
      <c r="C13" s="984" t="s">
        <v>22</v>
      </c>
      <c r="D13" s="46" t="s">
        <v>105</v>
      </c>
      <c r="E13" s="47" t="s">
        <v>108</v>
      </c>
      <c r="F13" s="194">
        <v>0.1</v>
      </c>
    </row>
    <row r="14" spans="2:9" ht="32.25" thickBot="1" x14ac:dyDescent="0.25">
      <c r="B14" s="985"/>
      <c r="C14" s="987"/>
      <c r="D14" s="49" t="s">
        <v>106</v>
      </c>
      <c r="E14" s="50" t="s">
        <v>107</v>
      </c>
      <c r="F14" s="195">
        <v>0.05</v>
      </c>
    </row>
    <row r="15" spans="2:9" ht="49.5" customHeight="1" x14ac:dyDescent="0.2">
      <c r="B15" s="975" t="s">
        <v>136</v>
      </c>
      <c r="C15" s="975"/>
      <c r="D15" s="975"/>
      <c r="E15" s="975"/>
      <c r="F15" s="975"/>
    </row>
    <row r="16" spans="2:9" ht="27" customHeight="1" x14ac:dyDescent="0.25">
      <c r="B16" s="5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2:E19"/>
  <sheetViews>
    <sheetView topLeftCell="A4" workbookViewId="0">
      <selection activeCell="B13" sqref="B13:B19"/>
    </sheetView>
  </sheetViews>
  <sheetFormatPr baseColWidth="10" defaultRowHeight="15" x14ac:dyDescent="0.25"/>
  <sheetData>
    <row r="2" spans="2:5" x14ac:dyDescent="0.25">
      <c r="B2" t="s">
        <v>26</v>
      </c>
      <c r="E2" t="s">
        <v>117</v>
      </c>
    </row>
    <row r="3" spans="2:5" x14ac:dyDescent="0.25">
      <c r="B3" t="s">
        <v>27</v>
      </c>
      <c r="E3" t="s">
        <v>116</v>
      </c>
    </row>
    <row r="4" spans="2:5" x14ac:dyDescent="0.25">
      <c r="B4" t="s">
        <v>120</v>
      </c>
      <c r="E4" t="s">
        <v>118</v>
      </c>
    </row>
    <row r="5" spans="2:5" x14ac:dyDescent="0.25">
      <c r="B5" t="s">
        <v>119</v>
      </c>
    </row>
    <row r="8" spans="2:5" x14ac:dyDescent="0.25">
      <c r="B8" t="s">
        <v>73</v>
      </c>
    </row>
    <row r="9" spans="2:5" x14ac:dyDescent="0.25">
      <c r="B9" t="s">
        <v>30</v>
      </c>
    </row>
    <row r="10" spans="2:5" x14ac:dyDescent="0.25">
      <c r="B10" t="s">
        <v>31</v>
      </c>
    </row>
    <row r="13" spans="2:5" x14ac:dyDescent="0.25">
      <c r="B13" t="s">
        <v>115</v>
      </c>
    </row>
    <row r="14" spans="2:5" x14ac:dyDescent="0.25">
      <c r="B14" t="s">
        <v>109</v>
      </c>
    </row>
    <row r="15" spans="2:5" x14ac:dyDescent="0.25">
      <c r="B15" t="s">
        <v>112</v>
      </c>
    </row>
    <row r="16" spans="2:5" x14ac:dyDescent="0.25">
      <c r="B16" t="s">
        <v>110</v>
      </c>
    </row>
    <row r="17" spans="2:2" x14ac:dyDescent="0.25">
      <c r="B17" t="s">
        <v>111</v>
      </c>
    </row>
    <row r="18" spans="2:2" x14ac:dyDescent="0.25">
      <c r="B18" t="s">
        <v>113</v>
      </c>
    </row>
    <row r="19" spans="2:2" x14ac:dyDescent="0.25">
      <c r="B19" t="s">
        <v>114</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D6BBEB"/>
  </sheetPr>
  <dimension ref="A3:G60"/>
  <sheetViews>
    <sheetView topLeftCell="A19" workbookViewId="0">
      <selection activeCell="A24" sqref="A24:A26"/>
    </sheetView>
  </sheetViews>
  <sheetFormatPr baseColWidth="10" defaultRowHeight="12.75" x14ac:dyDescent="0.2"/>
  <cols>
    <col min="1" max="1" width="15.140625" style="1" customWidth="1"/>
    <col min="2" max="2" width="11.42578125" style="1"/>
    <col min="3" max="3" width="45.5703125" style="1" customWidth="1"/>
    <col min="4" max="4" width="23.7109375" style="1" customWidth="1"/>
    <col min="5" max="16384" width="11.42578125" style="1"/>
  </cols>
  <sheetData>
    <row r="3" spans="1:6" x14ac:dyDescent="0.2">
      <c r="A3" s="2" t="s">
        <v>12</v>
      </c>
      <c r="C3" s="103" t="s">
        <v>135</v>
      </c>
      <c r="F3" s="110" t="s">
        <v>433</v>
      </c>
    </row>
    <row r="4" spans="1:6" x14ac:dyDescent="0.2">
      <c r="A4" s="2" t="s">
        <v>13</v>
      </c>
      <c r="C4" s="104" t="s">
        <v>79</v>
      </c>
      <c r="F4" s="111" t="s">
        <v>437</v>
      </c>
    </row>
    <row r="5" spans="1:6" x14ac:dyDescent="0.2">
      <c r="A5" s="2" t="s">
        <v>14</v>
      </c>
      <c r="C5" s="104" t="s">
        <v>80</v>
      </c>
      <c r="F5" s="112" t="s">
        <v>436</v>
      </c>
    </row>
    <row r="6" spans="1:6" x14ac:dyDescent="0.2">
      <c r="A6" s="2" t="s">
        <v>8</v>
      </c>
      <c r="C6" s="104" t="s">
        <v>81</v>
      </c>
    </row>
    <row r="7" spans="1:6" x14ac:dyDescent="0.2">
      <c r="A7" s="2" t="s">
        <v>7</v>
      </c>
      <c r="C7" s="104" t="s">
        <v>82</v>
      </c>
    </row>
    <row r="8" spans="1:6" x14ac:dyDescent="0.2">
      <c r="A8" s="2" t="s">
        <v>17</v>
      </c>
      <c r="C8" s="105"/>
    </row>
    <row r="9" spans="1:6" x14ac:dyDescent="0.2">
      <c r="A9" s="2" t="s">
        <v>18</v>
      </c>
      <c r="C9" s="106" t="s">
        <v>83</v>
      </c>
    </row>
    <row r="10" spans="1:6" ht="38.25" x14ac:dyDescent="0.2">
      <c r="A10" s="2" t="s">
        <v>20</v>
      </c>
      <c r="C10" s="107" t="s">
        <v>84</v>
      </c>
    </row>
    <row r="11" spans="1:6" ht="25.5" x14ac:dyDescent="0.2">
      <c r="A11" s="2" t="s">
        <v>21</v>
      </c>
      <c r="C11" s="107" t="s">
        <v>86</v>
      </c>
    </row>
    <row r="12" spans="1:6" ht="38.25" x14ac:dyDescent="0.2">
      <c r="A12" s="2"/>
      <c r="C12" s="107" t="s">
        <v>85</v>
      </c>
    </row>
    <row r="13" spans="1:6" ht="25.5" x14ac:dyDescent="0.2">
      <c r="A13" s="2" t="s">
        <v>413</v>
      </c>
      <c r="C13" s="107" t="s">
        <v>104</v>
      </c>
    </row>
    <row r="14" spans="1:6" x14ac:dyDescent="0.2">
      <c r="A14" s="2" t="s">
        <v>23</v>
      </c>
    </row>
    <row r="15" spans="1:6" ht="13.5" thickBot="1" x14ac:dyDescent="0.25">
      <c r="E15" s="110" t="s">
        <v>2</v>
      </c>
    </row>
    <row r="16" spans="1:6" x14ac:dyDescent="0.2">
      <c r="A16" s="131" t="s">
        <v>119</v>
      </c>
      <c r="B16" s="988" t="s">
        <v>244</v>
      </c>
      <c r="C16" s="129"/>
      <c r="E16" s="112" t="s">
        <v>1</v>
      </c>
    </row>
    <row r="17" spans="1:7" x14ac:dyDescent="0.2">
      <c r="A17" s="132" t="s">
        <v>26</v>
      </c>
      <c r="B17" s="989"/>
      <c r="C17" s="130"/>
    </row>
    <row r="18" spans="1:7" ht="13.5" thickBot="1" x14ac:dyDescent="0.25">
      <c r="A18" s="133" t="s">
        <v>27</v>
      </c>
      <c r="B18" s="990"/>
      <c r="C18" s="130"/>
    </row>
    <row r="19" spans="1:7" x14ac:dyDescent="0.2">
      <c r="C19" s="113"/>
    </row>
    <row r="20" spans="1:7" ht="11.25" customHeight="1" x14ac:dyDescent="0.2">
      <c r="A20" s="126" t="s">
        <v>30</v>
      </c>
      <c r="C20" s="114"/>
      <c r="D20" s="109"/>
      <c r="E20" s="109"/>
      <c r="F20" s="109"/>
      <c r="G20" s="109"/>
    </row>
    <row r="21" spans="1:7" x14ac:dyDescent="0.2">
      <c r="A21" s="127" t="s">
        <v>31</v>
      </c>
      <c r="B21" s="128"/>
      <c r="C21" s="113"/>
      <c r="E21" s="118" t="s">
        <v>199</v>
      </c>
      <c r="F21" s="120"/>
    </row>
    <row r="22" spans="1:7" x14ac:dyDescent="0.2">
      <c r="C22" s="115"/>
      <c r="E22" s="121" t="s">
        <v>234</v>
      </c>
      <c r="F22" s="123"/>
    </row>
    <row r="23" spans="1:7" x14ac:dyDescent="0.2">
      <c r="E23" s="121" t="s">
        <v>235</v>
      </c>
      <c r="F23" s="123"/>
    </row>
    <row r="24" spans="1:7" x14ac:dyDescent="0.2">
      <c r="A24" s="110" t="s">
        <v>433</v>
      </c>
      <c r="E24" s="121" t="s">
        <v>236</v>
      </c>
      <c r="F24" s="123"/>
    </row>
    <row r="25" spans="1:7" x14ac:dyDescent="0.2">
      <c r="A25" s="111" t="s">
        <v>68</v>
      </c>
      <c r="C25" s="110" t="s">
        <v>213</v>
      </c>
      <c r="E25" s="121" t="s">
        <v>237</v>
      </c>
      <c r="F25" s="123"/>
    </row>
    <row r="26" spans="1:7" x14ac:dyDescent="0.2">
      <c r="A26" s="112" t="s">
        <v>436</v>
      </c>
      <c r="C26" s="111" t="s">
        <v>214</v>
      </c>
      <c r="E26" s="121" t="s">
        <v>238</v>
      </c>
      <c r="F26" s="123"/>
    </row>
    <row r="27" spans="1:7" x14ac:dyDescent="0.2">
      <c r="C27" s="111" t="s">
        <v>215</v>
      </c>
      <c r="E27" s="121" t="s">
        <v>239</v>
      </c>
      <c r="F27" s="123"/>
    </row>
    <row r="28" spans="1:7" x14ac:dyDescent="0.2">
      <c r="A28" s="110" t="s">
        <v>587</v>
      </c>
      <c r="C28" s="111" t="s">
        <v>216</v>
      </c>
      <c r="E28" s="121" t="s">
        <v>240</v>
      </c>
      <c r="F28" s="123"/>
    </row>
    <row r="29" spans="1:7" x14ac:dyDescent="0.2">
      <c r="A29" s="111" t="s">
        <v>557</v>
      </c>
      <c r="C29" s="111" t="s">
        <v>217</v>
      </c>
      <c r="E29" s="121" t="s">
        <v>241</v>
      </c>
      <c r="F29" s="123"/>
    </row>
    <row r="30" spans="1:7" x14ac:dyDescent="0.2">
      <c r="A30" s="112" t="s">
        <v>558</v>
      </c>
      <c r="C30" s="111" t="s">
        <v>392</v>
      </c>
      <c r="E30" s="121" t="s">
        <v>242</v>
      </c>
      <c r="F30" s="123"/>
    </row>
    <row r="31" spans="1:7" x14ac:dyDescent="0.2">
      <c r="A31" s="122"/>
      <c r="C31" s="111" t="s">
        <v>393</v>
      </c>
      <c r="E31" s="124" t="s">
        <v>210</v>
      </c>
      <c r="F31" s="125"/>
    </row>
    <row r="32" spans="1:7" x14ac:dyDescent="0.2">
      <c r="A32" s="110" t="s">
        <v>691</v>
      </c>
      <c r="C32" s="111" t="s">
        <v>412</v>
      </c>
      <c r="E32" s="122"/>
      <c r="F32" s="122"/>
    </row>
    <row r="33" spans="1:7" x14ac:dyDescent="0.2">
      <c r="A33" s="111" t="s">
        <v>557</v>
      </c>
      <c r="C33" s="112" t="s">
        <v>395</v>
      </c>
      <c r="E33" s="122"/>
      <c r="F33" s="122"/>
    </row>
    <row r="34" spans="1:7" x14ac:dyDescent="0.2">
      <c r="A34" s="112" t="s">
        <v>558</v>
      </c>
      <c r="C34" s="122"/>
      <c r="E34" s="122"/>
      <c r="F34" s="122"/>
    </row>
    <row r="35" spans="1:7" x14ac:dyDescent="0.2">
      <c r="C35" s="1" t="s">
        <v>394</v>
      </c>
    </row>
    <row r="36" spans="1:7" x14ac:dyDescent="0.2">
      <c r="A36" s="251" t="s">
        <v>587</v>
      </c>
    </row>
    <row r="37" spans="1:7" x14ac:dyDescent="0.2">
      <c r="A37" s="235">
        <v>0</v>
      </c>
      <c r="C37" s="110" t="s">
        <v>218</v>
      </c>
    </row>
    <row r="38" spans="1:7" x14ac:dyDescent="0.2">
      <c r="A38" s="235">
        <v>1</v>
      </c>
      <c r="C38" s="111" t="s">
        <v>219</v>
      </c>
    </row>
    <row r="39" spans="1:7" x14ac:dyDescent="0.2">
      <c r="A39" s="235">
        <v>2</v>
      </c>
      <c r="C39" s="111" t="s">
        <v>220</v>
      </c>
    </row>
    <row r="40" spans="1:7" x14ac:dyDescent="0.2">
      <c r="A40" s="235">
        <v>3</v>
      </c>
      <c r="C40" s="111" t="s">
        <v>221</v>
      </c>
      <c r="E40" s="118" t="s">
        <v>218</v>
      </c>
      <c r="F40" s="119"/>
      <c r="G40" s="120"/>
    </row>
    <row r="41" spans="1:7" x14ac:dyDescent="0.2">
      <c r="A41" s="235">
        <v>4</v>
      </c>
      <c r="C41" s="111" t="s">
        <v>222</v>
      </c>
      <c r="E41" s="121" t="s">
        <v>219</v>
      </c>
      <c r="F41" s="122"/>
      <c r="G41" s="123"/>
    </row>
    <row r="42" spans="1:7" x14ac:dyDescent="0.2">
      <c r="A42" s="235">
        <v>5</v>
      </c>
      <c r="C42" s="111" t="s">
        <v>223</v>
      </c>
      <c r="E42" s="121" t="s">
        <v>220</v>
      </c>
      <c r="F42" s="122"/>
      <c r="G42" s="123"/>
    </row>
    <row r="43" spans="1:7" x14ac:dyDescent="0.2">
      <c r="A43" s="235">
        <v>6</v>
      </c>
      <c r="C43" s="111" t="s">
        <v>224</v>
      </c>
      <c r="E43" s="121" t="s">
        <v>221</v>
      </c>
      <c r="F43" s="122"/>
      <c r="G43" s="123"/>
    </row>
    <row r="44" spans="1:7" x14ac:dyDescent="0.2">
      <c r="A44" s="235">
        <v>7</v>
      </c>
      <c r="C44" s="111" t="s">
        <v>225</v>
      </c>
      <c r="E44" s="121" t="s">
        <v>222</v>
      </c>
      <c r="F44" s="122"/>
      <c r="G44" s="123"/>
    </row>
    <row r="45" spans="1:7" x14ac:dyDescent="0.2">
      <c r="A45" s="235">
        <v>8</v>
      </c>
      <c r="C45" s="111" t="s">
        <v>231</v>
      </c>
      <c r="E45" s="121" t="s">
        <v>223</v>
      </c>
      <c r="F45" s="122"/>
      <c r="G45" s="123"/>
    </row>
    <row r="46" spans="1:7" x14ac:dyDescent="0.2">
      <c r="A46" s="235">
        <v>9</v>
      </c>
      <c r="C46" s="111" t="s">
        <v>226</v>
      </c>
      <c r="E46" s="121" t="s">
        <v>224</v>
      </c>
      <c r="F46" s="122"/>
      <c r="G46" s="123"/>
    </row>
    <row r="47" spans="1:7" x14ac:dyDescent="0.2">
      <c r="A47" s="235">
        <v>10</v>
      </c>
      <c r="C47" s="111" t="s">
        <v>116</v>
      </c>
      <c r="E47" s="121" t="s">
        <v>225</v>
      </c>
      <c r="F47" s="122"/>
      <c r="G47" s="123"/>
    </row>
    <row r="48" spans="1:7" x14ac:dyDescent="0.2">
      <c r="A48" s="236" t="s">
        <v>571</v>
      </c>
      <c r="C48" s="111" t="s">
        <v>813</v>
      </c>
      <c r="E48" s="121" t="s">
        <v>231</v>
      </c>
      <c r="F48" s="122"/>
      <c r="G48" s="123"/>
    </row>
    <row r="49" spans="1:7" x14ac:dyDescent="0.2">
      <c r="C49" s="111" t="s">
        <v>227</v>
      </c>
      <c r="E49" s="121" t="s">
        <v>226</v>
      </c>
      <c r="F49" s="122"/>
      <c r="G49" s="123"/>
    </row>
    <row r="50" spans="1:7" x14ac:dyDescent="0.2">
      <c r="C50" s="111" t="s">
        <v>228</v>
      </c>
      <c r="E50" s="121" t="s">
        <v>116</v>
      </c>
      <c r="F50" s="122"/>
      <c r="G50" s="123"/>
    </row>
    <row r="51" spans="1:7" ht="25.5" customHeight="1" x14ac:dyDescent="0.2">
      <c r="A51" s="256" t="s">
        <v>663</v>
      </c>
      <c r="C51" s="111" t="s">
        <v>229</v>
      </c>
      <c r="E51" s="121" t="s">
        <v>232</v>
      </c>
      <c r="F51" s="122"/>
      <c r="G51" s="123"/>
    </row>
    <row r="52" spans="1:7" ht="25.5" customHeight="1" x14ac:dyDescent="0.2">
      <c r="A52" s="257" t="s">
        <v>664</v>
      </c>
      <c r="C52" s="112" t="s">
        <v>230</v>
      </c>
      <c r="E52" s="124" t="s">
        <v>227</v>
      </c>
      <c r="F52" s="108"/>
      <c r="G52" s="125"/>
    </row>
    <row r="53" spans="1:7" ht="52.5" customHeight="1" x14ac:dyDescent="0.2">
      <c r="A53" s="257" t="s">
        <v>690</v>
      </c>
      <c r="C53" s="277"/>
      <c r="E53" s="122"/>
      <c r="F53" s="122"/>
      <c r="G53" s="122"/>
    </row>
    <row r="54" spans="1:7" ht="25.5" customHeight="1" x14ac:dyDescent="0.2">
      <c r="A54" s="257" t="s">
        <v>665</v>
      </c>
      <c r="C54" s="279" t="s">
        <v>814</v>
      </c>
      <c r="D54" s="280"/>
      <c r="E54" s="281"/>
    </row>
    <row r="55" spans="1:7" ht="39" customHeight="1" x14ac:dyDescent="0.2">
      <c r="A55" s="257" t="s">
        <v>666</v>
      </c>
      <c r="C55" s="282" t="s">
        <v>815</v>
      </c>
      <c r="D55" s="283"/>
      <c r="E55" s="284"/>
    </row>
    <row r="56" spans="1:7" ht="38.25" x14ac:dyDescent="0.2">
      <c r="A56" s="258" t="s">
        <v>819</v>
      </c>
      <c r="C56" s="282" t="s">
        <v>816</v>
      </c>
      <c r="D56" s="283"/>
      <c r="E56" s="284"/>
    </row>
    <row r="57" spans="1:7" x14ac:dyDescent="0.2">
      <c r="C57" s="282" t="s">
        <v>817</v>
      </c>
      <c r="D57" s="283"/>
      <c r="E57" s="284"/>
    </row>
    <row r="58" spans="1:7" x14ac:dyDescent="0.2">
      <c r="C58" s="286" t="s">
        <v>818</v>
      </c>
      <c r="D58" s="287"/>
      <c r="E58" s="288"/>
    </row>
    <row r="59" spans="1:7" x14ac:dyDescent="0.2">
      <c r="C59" s="278"/>
      <c r="D59" s="278"/>
      <c r="E59" s="278"/>
    </row>
    <row r="60" spans="1:7" x14ac:dyDescent="0.2">
      <c r="C60" s="278"/>
      <c r="D60" s="278"/>
      <c r="E60" s="278"/>
    </row>
  </sheetData>
  <mergeCells count="1">
    <mergeCell ref="B16:B18"/>
  </mergeCells>
  <dataValidations count="4">
    <dataValidation type="list" allowBlank="1" showInputMessage="1" showErrorMessage="1" sqref="A32:A34">
      <formula1>$A$32:$A$33</formula1>
    </dataValidation>
    <dataValidation type="list" allowBlank="1" showInputMessage="1" showErrorMessage="1" sqref="E40:G52">
      <formula1>$E$40:$E$52</formula1>
    </dataValidation>
    <dataValidation type="list" allowBlank="1" showInputMessage="1" showErrorMessage="1" sqref="C62">
      <formula1>$C$54:$C$58</formula1>
    </dataValidation>
    <dataValidation type="list" allowBlank="1" showInputMessage="1" showErrorMessage="1" sqref="A24:A26">
      <formula1>$A$24:$A$26</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1.Intructivo</vt:lpstr>
      <vt:lpstr>2.Mapa final</vt:lpstr>
      <vt:lpstr>3.Matriz Calor Inherente</vt:lpstr>
      <vt:lpstr>4.Matriz Calor Residual</vt:lpstr>
      <vt:lpstr>5.Tabla probabilidad</vt:lpstr>
      <vt:lpstr>6.Tabla Impacto</vt:lpstr>
      <vt:lpstr>7.Tabla Valoración controles</vt:lpstr>
      <vt:lpstr>Opciones Tratamiento</vt:lpstr>
      <vt:lpstr>8.Listas desplegables</vt:lpstr>
      <vt:lpstr>9. Reporte riesgo materializado</vt:lpstr>
      <vt:lpstr>10. Seguimiento a controles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Geovanna A. Escobar Carvajal</cp:lastModifiedBy>
  <cp:lastPrinted>2020-05-13T01:12:22Z</cp:lastPrinted>
  <dcterms:created xsi:type="dcterms:W3CDTF">2020-03-24T23:12:47Z</dcterms:created>
  <dcterms:modified xsi:type="dcterms:W3CDTF">2025-06-26T20:21:41Z</dcterms:modified>
</cp:coreProperties>
</file>